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структура 2016" sheetId="1" r:id="rId1"/>
    <sheet name="структура 2017 " sheetId="2" r:id="rId2"/>
    <sheet name="структура 2018" sheetId="3" r:id="rId3"/>
  </sheets>
  <definedNames>
    <definedName name="_xlnm.Print_Area" localSheetId="0">'структура 2016'!$A$1:$F$75</definedName>
    <definedName name="_xlnm.Print_Area" localSheetId="1">'структура 2017 '!$A$1:$F$75</definedName>
    <definedName name="_xlnm.Print_Area" localSheetId="2">'структура 2018'!$A$1:$F$75</definedName>
  </definedNames>
  <calcPr fullCalcOnLoad="1"/>
</workbook>
</file>

<file path=xl/sharedStrings.xml><?xml version="1.0" encoding="utf-8"?>
<sst xmlns="http://schemas.openxmlformats.org/spreadsheetml/2006/main" count="793" uniqueCount="161">
  <si>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</si>
  <si>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</si>
  <si>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</si>
  <si>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</si>
  <si>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 ОАО «ЭНЕРГОПРОМ-Челябинский электродный завод»</t>
  </si>
  <si>
    <t>№ п/п</t>
  </si>
  <si>
    <t>Показатель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</si>
  <si>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</si>
  <si>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</si>
  <si>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</si>
  <si>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</si>
  <si>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</si>
  <si>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</si>
  <si>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</si>
  <si>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</si>
  <si>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</si>
  <si>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</si>
  <si>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r>
      <t> </t>
    </r>
    <r>
      <rPr>
        <sz val="12"/>
        <rFont val="Times New Roman"/>
        <family val="1"/>
      </rPr>
      <t xml:space="preserve">  </t>
    </r>
  </si>
  <si>
    <t>подконтрольные расходы, всего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</si>
  <si>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</si>
  <si>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</si>
  <si>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</si>
  <si>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-</t>
  </si>
  <si>
    <t>1.1.1.2</t>
  </si>
  <si>
    <t>на ремонт</t>
  </si>
  <si>
    <t>- 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</si>
  <si>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</si>
  <si>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</si>
  <si>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</si>
  <si>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</si>
  <si>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 -</t>
  </si>
  <si>
    <t>Фонд оплаты труда</t>
  </si>
  <si>
    <t>1.1.2.1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</si>
  <si>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</si>
  <si>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</si>
  <si>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</si>
  <si>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</si>
  <si>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</si>
  <si>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</si>
  <si>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</si>
  <si>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</si>
  <si>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</si>
  <si>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</si>
  <si>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</si>
  <si>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</si>
  <si>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</si>
  <si>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</si>
  <si>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</si>
  <si>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</si>
  <si>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</si>
  <si>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</si>
  <si>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</si>
  <si>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</si>
  <si>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</si>
  <si>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</si>
  <si>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прочие неподконтрольные расходы (потребление энергоресурсов: вода питьевая, сбросы в гор. канализацию, отопление, ГВС)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</si>
  <si>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</si>
  <si>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</si>
  <si>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</si>
  <si>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</si>
  <si>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МВт·ч</t>
  </si>
  <si>
    <t>IV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</si>
  <si>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</si>
  <si>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</si>
  <si>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</si>
  <si>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</si>
  <si>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286 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</si>
  <si>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</si>
  <si>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</si>
  <si>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</si>
  <si>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</si>
  <si>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</si>
  <si>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</si>
  <si>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</si>
  <si>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</si>
  <si>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</si>
  <si>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</si>
  <si>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</si>
  <si>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</si>
  <si>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</si>
  <si>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</si>
  <si>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</si>
  <si>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</si>
  <si>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</si>
  <si>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</si>
  <si>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</si>
  <si>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</si>
  <si>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</si>
  <si>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</si>
  <si>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</si>
  <si>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</si>
  <si>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</si>
  <si>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</si>
  <si>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</si>
  <si>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</si>
  <si>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</si>
  <si>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</si>
  <si>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</si>
  <si>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</si>
  <si>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</si>
  <si>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</si>
  <si>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1.2.2</t>
  </si>
  <si>
    <t>1.2.10.2</t>
  </si>
  <si>
    <t>Справочно: расходы на ремонт, всего(пункт 1.1.1.2 + пункт 1.1.2.1 +пункт 1.1.3.1)</t>
  </si>
  <si>
    <t>Справочно:  Объем технологических потерь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</si>
  <si>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</si>
  <si>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3.2.</t>
  </si>
  <si>
    <t>3.3.</t>
  </si>
  <si>
    <t>3.4.</t>
  </si>
  <si>
    <t>7.1</t>
  </si>
  <si>
    <t>2.1</t>
  </si>
  <si>
    <t>в том числе трансформаторная мощность подстанций на ВН уровне напряжения</t>
  </si>
  <si>
    <t>5.1</t>
  </si>
  <si>
    <t>5.2</t>
  </si>
  <si>
    <t>5.3</t>
  </si>
  <si>
    <t>5.4</t>
  </si>
  <si>
    <t>в том числе длина линий электропередач на НВ уровне напряжения</t>
  </si>
  <si>
    <t>в том числе длина линий электропередач на СН-1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</si>
  <si>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</si>
  <si>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</si>
  <si>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Подконтрольные расходы из прибыли</t>
  </si>
  <si>
    <t>Электроэнергия на хоз.нужды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</si>
  <si>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</si>
  <si>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Другие прочие расходы (услуги вспомогательного производства)</t>
  </si>
  <si>
    <t xml:space="preserve">Прочие подконтрольные расходы </t>
  </si>
  <si>
    <t>Справочно: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</si>
  <si>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>норматив технологического расхода (потерь) электрической энергии, установленный Минэнерго России</t>
  </si>
  <si>
    <t>Приложение 2</t>
  </si>
  <si>
    <t>к Приказу Федеральной службы по тарифам</t>
  </si>
  <si>
    <t>Год 2016</t>
  </si>
  <si>
    <t>Долгосрочный период регулирования: 2016 – 2020 гг.</t>
  </si>
  <si>
    <r>
      <t>ИНН:___</t>
    </r>
    <r>
      <rPr>
        <u val="single"/>
        <sz val="14"/>
        <color indexed="8"/>
        <rFont val="Times New Roman"/>
        <family val="1"/>
      </rPr>
      <t>7450005001</t>
    </r>
    <r>
      <rPr>
        <sz val="14"/>
        <color indexed="8"/>
        <rFont val="Times New Roman"/>
        <family val="1"/>
      </rPr>
      <t>___________________________</t>
    </r>
  </si>
  <si>
    <r>
      <t>КПП:_____</t>
    </r>
    <r>
      <rPr>
        <u val="single"/>
        <sz val="14"/>
        <color indexed="8"/>
        <rFont val="Times New Roman"/>
        <family val="1"/>
      </rPr>
      <t>745001001</t>
    </r>
    <r>
      <rPr>
        <sz val="14"/>
        <color indexed="8"/>
        <rFont val="Times New Roman"/>
        <family val="1"/>
      </rPr>
      <t>___________________________________</t>
    </r>
  </si>
  <si>
    <r>
      <t> </t>
    </r>
    <r>
      <rPr>
        <sz val="12"/>
        <color indexed="8"/>
        <rFont val="Times New Roman"/>
        <family val="1"/>
      </rPr>
      <t xml:space="preserve">  </t>
    </r>
  </si>
  <si>
    <r>
      <t> </t>
    </r>
    <r>
      <rPr>
        <b/>
        <sz val="12"/>
        <color indexed="8"/>
        <rFont val="Times New Roman"/>
        <family val="1"/>
      </rPr>
      <t xml:space="preserve">  </t>
    </r>
  </si>
  <si>
    <r>
      <t> </t>
    </r>
    <r>
      <rPr>
        <b/>
        <sz val="12"/>
        <rFont val="Times New Roman"/>
        <family val="1"/>
      </rPr>
      <t xml:space="preserve">  </t>
    </r>
  </si>
  <si>
    <t>план</t>
  </si>
  <si>
    <t>факт</t>
  </si>
  <si>
    <t>от 24.10.2014  №1831-э</t>
  </si>
  <si>
    <t>Год 2017</t>
  </si>
  <si>
    <r>
      <t>КПП:_____</t>
    </r>
    <r>
      <rPr>
        <u val="single"/>
        <sz val="14"/>
        <color indexed="8"/>
        <rFont val="Times New Roman"/>
        <family val="1"/>
      </rPr>
      <t>746001001</t>
    </r>
    <r>
      <rPr>
        <sz val="14"/>
        <color indexed="8"/>
        <rFont val="Times New Roman"/>
        <family val="1"/>
      </rPr>
      <t>___________________________________</t>
    </r>
  </si>
  <si>
    <t>Наименование организации: АО «ЭНЕРГОПРОМ-Челябинский электродный завод»</t>
  </si>
  <si>
    <t>Увеличение затрат, материалы на текущий ремонт.</t>
  </si>
  <si>
    <t>Сокращение численности</t>
  </si>
  <si>
    <t>Увеличение затрат по статьям: эл.энергия на хоз. нужды.</t>
  </si>
  <si>
    <t>У большего часть  оборудования закончился полезный срок использовния (амортизационные отчисления).</t>
  </si>
  <si>
    <t>Снижение по затратам (амортизационные отчисления)</t>
  </si>
  <si>
    <t>Снижение затрат по услугам подрядных организация.</t>
  </si>
  <si>
    <t>Незапланированные расходы(командировочные, медсомотр.)</t>
  </si>
  <si>
    <t>Увеличение затрат по статьям: услуги вспомогательных цехов завода.</t>
  </si>
  <si>
    <t>Незапланированная арендная плата (душевые рабочих).</t>
  </si>
  <si>
    <t>Основная причина снижение затрат, сокращение численности.</t>
  </si>
  <si>
    <t>Налог на имущество,транспортный, водный, на землю.</t>
  </si>
  <si>
    <t>Увеличение затрат по статьям: услуги ремонтных служб завода.</t>
  </si>
  <si>
    <t>Год 2018</t>
  </si>
  <si>
    <t>Увеличение амортизационных отчислении за счет модернизации (ТРАНСФОРМАТОР ТДТН-40/35-6 СИЛОВОЙ).</t>
  </si>
  <si>
    <t>Капитальный  ремонт трансформатора, монтаж кабельных трасс ГПП-2,ГПП-3</t>
  </si>
  <si>
    <t>Снижение  затрат по статьям: услуги ремонтных служб завода.</t>
  </si>
  <si>
    <r>
      <t xml:space="preserve"> Затраты на медосмотр, обучение, командировки, поверка приборов. </t>
    </r>
    <r>
      <rPr>
        <sz val="12"/>
        <rFont val="Times New Roman"/>
        <family val="1"/>
      </rPr>
      <t xml:space="preserve">  </t>
    </r>
  </si>
  <si>
    <t>Увеличение затрат (капитальный ремонт маслянный выключатель ГПП-1, замена аккумуляторной батареи).</t>
  </si>
  <si>
    <t>Изменение в структуре подразделения, изменение штатного расписания.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</si>
</sst>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%"/>
    <numFmt numFmtId="182" formatCode="#,##0.0"/>
    <numFmt numFmtId="183" formatCode="#,##0.000"/>
    <numFmt numFmtId="184" formatCode="#,##0.0000"/>
    <numFmt numFmtId="185" formatCode="#,##0.00000"/>
  </numFmts>
  <fonts count="6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0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left"/>
    </xf>
    <xf numFmtId="0" fontId="59" fillId="0" borderId="13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0" fillId="0" borderId="0" xfId="0" applyFont="1" applyFill="1" applyAlignment="1">
      <alignment horizontal="justify"/>
    </xf>
    <xf numFmtId="0" fontId="58" fillId="0" borderId="0" xfId="0" applyFont="1" applyFill="1" applyAlignment="1">
      <alignment/>
    </xf>
    <xf numFmtId="49" fontId="59" fillId="0" borderId="11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59" fillId="0" borderId="21" xfId="0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left"/>
    </xf>
    <xf numFmtId="0" fontId="61" fillId="0" borderId="22" xfId="0" applyFont="1" applyFill="1" applyBorder="1" applyAlignment="1">
      <alignment wrapText="1"/>
    </xf>
    <xf numFmtId="0" fontId="61" fillId="0" borderId="16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/>
    </xf>
    <xf numFmtId="0" fontId="61" fillId="0" borderId="13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49" fontId="3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49" fontId="3" fillId="0" borderId="36" xfId="0" applyNumberFormat="1" applyFont="1" applyFill="1" applyBorder="1" applyAlignment="1">
      <alignment horizontal="left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49" fontId="3" fillId="0" borderId="36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0" fontId="3" fillId="0" borderId="41" xfId="0" applyFont="1" applyFill="1" applyBorder="1" applyAlignment="1">
      <alignment wrapText="1"/>
    </xf>
    <xf numFmtId="0" fontId="5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8" fillId="0" borderId="0" xfId="0" applyFont="1" applyFill="1" applyAlignment="1">
      <alignment horizontal="center"/>
    </xf>
    <xf numFmtId="9" fontId="58" fillId="0" borderId="0" xfId="0" applyNumberFormat="1" applyFont="1" applyFill="1" applyAlignment="1">
      <alignment horizontal="center"/>
    </xf>
    <xf numFmtId="181" fontId="58" fillId="0" borderId="0" xfId="0" applyNumberFormat="1" applyFont="1" applyFill="1" applyAlignment="1">
      <alignment horizontal="center"/>
    </xf>
    <xf numFmtId="0" fontId="62" fillId="0" borderId="42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10" fontId="63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178" fontId="61" fillId="0" borderId="10" xfId="0" applyNumberFormat="1" applyFont="1" applyFill="1" applyBorder="1" applyAlignment="1">
      <alignment horizontal="center"/>
    </xf>
    <xf numFmtId="10" fontId="58" fillId="0" borderId="0" xfId="0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4" fontId="61" fillId="33" borderId="50" xfId="0" applyNumberFormat="1" applyFont="1" applyFill="1" applyBorder="1" applyAlignment="1">
      <alignment horizontal="center" vertical="center"/>
    </xf>
    <xf numFmtId="182" fontId="61" fillId="33" borderId="24" xfId="0" applyNumberFormat="1" applyFont="1" applyFill="1" applyBorder="1" applyAlignment="1">
      <alignment horizontal="center" vertical="center" wrapText="1"/>
    </xf>
    <xf numFmtId="4" fontId="61" fillId="33" borderId="51" xfId="0" applyNumberFormat="1" applyFont="1" applyFill="1" applyBorder="1" applyAlignment="1">
      <alignment horizontal="center" vertical="center" wrapText="1"/>
    </xf>
    <xf numFmtId="182" fontId="61" fillId="33" borderId="26" xfId="0" applyNumberFormat="1" applyFont="1" applyFill="1" applyBorder="1" applyAlignment="1">
      <alignment horizontal="center" vertical="center" wrapText="1"/>
    </xf>
    <xf numFmtId="2" fontId="59" fillId="33" borderId="51" xfId="0" applyNumberFormat="1" applyFont="1" applyFill="1" applyBorder="1" applyAlignment="1">
      <alignment horizontal="center" vertical="center"/>
    </xf>
    <xf numFmtId="2" fontId="59" fillId="33" borderId="26" xfId="0" applyNumberFormat="1" applyFont="1" applyFill="1" applyBorder="1" applyAlignment="1">
      <alignment horizontal="center" vertical="center"/>
    </xf>
    <xf numFmtId="2" fontId="59" fillId="33" borderId="26" xfId="0" applyNumberFormat="1" applyFont="1" applyFill="1" applyBorder="1" applyAlignment="1">
      <alignment horizontal="center" vertical="center" wrapText="1"/>
    </xf>
    <xf numFmtId="178" fontId="3" fillId="33" borderId="51" xfId="0" applyNumberFormat="1" applyFont="1" applyFill="1" applyBorder="1" applyAlignment="1">
      <alignment horizontal="center" vertical="center"/>
    </xf>
    <xf numFmtId="2" fontId="3" fillId="33" borderId="26" xfId="0" applyNumberFormat="1" applyFont="1" applyFill="1" applyBorder="1" applyAlignment="1">
      <alignment horizontal="center" vertical="center" wrapText="1"/>
    </xf>
    <xf numFmtId="176" fontId="3" fillId="33" borderId="26" xfId="0" applyNumberFormat="1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2" fontId="3" fillId="33" borderId="51" xfId="0" applyNumberFormat="1" applyFont="1" applyFill="1" applyBorder="1" applyAlignment="1">
      <alignment horizontal="center" vertical="center"/>
    </xf>
    <xf numFmtId="178" fontId="3" fillId="33" borderId="26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178" fontId="3" fillId="33" borderId="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/>
    </xf>
    <xf numFmtId="2" fontId="3" fillId="33" borderId="5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2" fontId="3" fillId="33" borderId="58" xfId="0" applyNumberFormat="1" applyFont="1" applyFill="1" applyBorder="1" applyAlignment="1">
      <alignment horizontal="center" vertical="center"/>
    </xf>
    <xf numFmtId="2" fontId="3" fillId="33" borderId="5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/>
    </xf>
    <xf numFmtId="185" fontId="0" fillId="0" borderId="0" xfId="0" applyNumberFormat="1" applyFill="1" applyAlignment="1">
      <alignment horizontal="center"/>
    </xf>
    <xf numFmtId="182" fontId="58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 horizontal="center"/>
    </xf>
    <xf numFmtId="4" fontId="58" fillId="0" borderId="0" xfId="0" applyNumberFormat="1" applyFont="1" applyFill="1" applyAlignment="1">
      <alignment horizontal="center"/>
    </xf>
    <xf numFmtId="2" fontId="3" fillId="0" borderId="26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182" fontId="61" fillId="0" borderId="24" xfId="0" applyNumberFormat="1" applyFont="1" applyFill="1" applyBorder="1" applyAlignment="1">
      <alignment horizontal="center" vertical="center" wrapText="1"/>
    </xf>
    <xf numFmtId="182" fontId="61" fillId="0" borderId="26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/>
    </xf>
    <xf numFmtId="2" fontId="59" fillId="0" borderId="26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8" fontId="3" fillId="0" borderId="51" xfId="0" applyNumberFormat="1" applyFont="1" applyFill="1" applyBorder="1" applyAlignment="1">
      <alignment horizontal="center" vertical="center"/>
    </xf>
    <xf numFmtId="178" fontId="3" fillId="0" borderId="26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59" fillId="0" borderId="26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66" fillId="0" borderId="60" xfId="0" applyFont="1" applyFill="1" applyBorder="1" applyAlignment="1">
      <alignment horizontal="center" vertical="center"/>
    </xf>
    <xf numFmtId="0" fontId="66" fillId="0" borderId="61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 wrapText="1"/>
    </xf>
    <xf numFmtId="0" fontId="61" fillId="0" borderId="62" xfId="0" applyFont="1" applyFill="1" applyBorder="1" applyAlignment="1">
      <alignment horizontal="center" vertical="center" wrapText="1"/>
    </xf>
    <xf numFmtId="0" fontId="61" fillId="0" borderId="63" xfId="0" applyFont="1" applyFill="1" applyBorder="1" applyAlignment="1">
      <alignment horizontal="center" vertical="center"/>
    </xf>
    <xf numFmtId="0" fontId="61" fillId="0" borderId="64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59" fillId="33" borderId="26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51" xfId="0" applyNumberFormat="1" applyFont="1" applyFill="1" applyBorder="1" applyAlignment="1">
      <alignment horizontal="center" vertical="center"/>
    </xf>
    <xf numFmtId="4" fontId="6" fillId="33" borderId="5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="110" zoomScaleNormal="110" zoomScalePageLayoutView="0" workbookViewId="0" topLeftCell="A46">
      <selection activeCell="D54" sqref="D54"/>
    </sheetView>
  </sheetViews>
  <sheetFormatPr defaultColWidth="9.00390625" defaultRowHeight="12.75"/>
  <cols>
    <col min="1" max="1" width="10.00390625" style="25" customWidth="1"/>
    <col min="2" max="2" width="56.375" style="25" customWidth="1"/>
    <col min="3" max="3" width="11.625" style="25" customWidth="1"/>
    <col min="4" max="4" width="10.75390625" style="0" customWidth="1"/>
    <col min="5" max="5" width="10.875" style="0" customWidth="1"/>
    <col min="6" max="6" width="24.625" style="25" customWidth="1"/>
    <col min="7" max="8" width="9.125" style="67" customWidth="1"/>
    <col min="9" max="16384" width="9.125" style="25" customWidth="1"/>
  </cols>
  <sheetData>
    <row r="1" ht="12.75">
      <c r="F1" s="66" t="s">
        <v>127</v>
      </c>
    </row>
    <row r="2" ht="12.75">
      <c r="F2" s="66" t="s">
        <v>128</v>
      </c>
    </row>
    <row r="3" ht="12.75">
      <c r="F3" s="25" t="s">
        <v>138</v>
      </c>
    </row>
    <row r="6" spans="1:6" ht="18.75">
      <c r="A6" s="182" t="s">
        <v>0</v>
      </c>
      <c r="B6" s="182"/>
      <c r="C6" s="182"/>
      <c r="D6" s="182"/>
      <c r="E6" s="182"/>
      <c r="F6" s="182"/>
    </row>
    <row r="7" spans="1:6" ht="18.75">
      <c r="A7" s="182" t="s">
        <v>1</v>
      </c>
      <c r="B7" s="182"/>
      <c r="C7" s="182"/>
      <c r="D7" s="182"/>
      <c r="E7" s="182"/>
      <c r="F7" s="182"/>
    </row>
    <row r="8" spans="1:6" ht="18.75">
      <c r="A8" s="182" t="s">
        <v>2</v>
      </c>
      <c r="B8" s="182"/>
      <c r="C8" s="182"/>
      <c r="D8" s="182"/>
      <c r="E8" s="182"/>
      <c r="F8" s="182"/>
    </row>
    <row r="9" spans="1:6" ht="20.25" customHeight="1">
      <c r="A9" s="196" t="s">
        <v>3</v>
      </c>
      <c r="B9" s="196"/>
      <c r="C9" s="196"/>
      <c r="D9" s="196"/>
      <c r="E9" s="196"/>
      <c r="F9" s="196"/>
    </row>
    <row r="10" ht="18.75">
      <c r="A10" s="26"/>
    </row>
    <row r="11" spans="1:8" s="28" customFormat="1" ht="37.5" customHeight="1">
      <c r="A11" s="184" t="s">
        <v>4</v>
      </c>
      <c r="B11" s="184"/>
      <c r="C11" s="184"/>
      <c r="D11" s="184"/>
      <c r="E11" s="184"/>
      <c r="F11" s="184"/>
      <c r="G11" s="68"/>
      <c r="H11" s="68"/>
    </row>
    <row r="12" spans="1:8" s="28" customFormat="1" ht="18.75">
      <c r="A12" s="185" t="s">
        <v>131</v>
      </c>
      <c r="B12" s="185"/>
      <c r="C12" s="185"/>
      <c r="D12" s="185"/>
      <c r="E12" s="185"/>
      <c r="F12" s="185"/>
      <c r="G12" s="68"/>
      <c r="H12" s="68"/>
    </row>
    <row r="13" spans="1:8" s="28" customFormat="1" ht="18.75">
      <c r="A13" s="185" t="s">
        <v>132</v>
      </c>
      <c r="B13" s="185"/>
      <c r="C13" s="185"/>
      <c r="D13" s="185"/>
      <c r="E13" s="185"/>
      <c r="F13" s="185"/>
      <c r="G13" s="68"/>
      <c r="H13" s="68"/>
    </row>
    <row r="14" spans="1:8" s="28" customFormat="1" ht="18.75">
      <c r="A14" s="183" t="s">
        <v>130</v>
      </c>
      <c r="B14" s="183"/>
      <c r="C14" s="183"/>
      <c r="D14" s="183"/>
      <c r="E14" s="183"/>
      <c r="F14" s="183"/>
      <c r="G14" s="68" t="s">
        <v>136</v>
      </c>
      <c r="H14" s="68" t="s">
        <v>137</v>
      </c>
    </row>
    <row r="15" spans="1:8" s="28" customFormat="1" ht="19.5" thickBot="1">
      <c r="A15" s="27"/>
      <c r="D15" s="15"/>
      <c r="E15" s="15"/>
      <c r="F15" s="69"/>
      <c r="G15" s="70">
        <v>0.08792</v>
      </c>
      <c r="H15" s="77">
        <v>0.0783</v>
      </c>
    </row>
    <row r="16" spans="1:8" s="28" customFormat="1" ht="15" thickBot="1">
      <c r="A16" s="188" t="s">
        <v>5</v>
      </c>
      <c r="B16" s="190" t="s">
        <v>6</v>
      </c>
      <c r="C16" s="192" t="s">
        <v>7</v>
      </c>
      <c r="D16" s="194" t="s">
        <v>129</v>
      </c>
      <c r="E16" s="195"/>
      <c r="F16" s="186" t="s">
        <v>8</v>
      </c>
      <c r="G16" s="68"/>
      <c r="H16" s="68"/>
    </row>
    <row r="17" spans="1:8" s="28" customFormat="1" ht="15.75" thickBot="1">
      <c r="A17" s="189"/>
      <c r="B17" s="191"/>
      <c r="C17" s="193"/>
      <c r="D17" s="16" t="s">
        <v>9</v>
      </c>
      <c r="E17" s="17" t="s">
        <v>10</v>
      </c>
      <c r="F17" s="187"/>
      <c r="G17" s="68"/>
      <c r="H17" s="68"/>
    </row>
    <row r="18" spans="1:8" s="28" customFormat="1" ht="16.5" thickBot="1">
      <c r="A18" s="29" t="s">
        <v>11</v>
      </c>
      <c r="B18" s="30" t="s">
        <v>12</v>
      </c>
      <c r="C18" s="31" t="s">
        <v>13</v>
      </c>
      <c r="D18" s="18" t="s">
        <v>13</v>
      </c>
      <c r="E18" s="19" t="s">
        <v>13</v>
      </c>
      <c r="F18" s="71" t="s">
        <v>14</v>
      </c>
      <c r="G18" s="68"/>
      <c r="H18" s="68"/>
    </row>
    <row r="19" spans="1:8" s="75" customFormat="1" ht="15.75">
      <c r="A19" s="32">
        <v>1</v>
      </c>
      <c r="B19" s="33" t="s">
        <v>15</v>
      </c>
      <c r="C19" s="34" t="s">
        <v>16</v>
      </c>
      <c r="D19" s="97">
        <f>D20+D37</f>
        <v>1639.052202612731</v>
      </c>
      <c r="E19" s="98">
        <f>E20+E37</f>
        <v>979.0297713809999</v>
      </c>
      <c r="F19" s="72" t="s">
        <v>134</v>
      </c>
      <c r="G19" s="73"/>
      <c r="H19" s="74"/>
    </row>
    <row r="20" spans="1:8" s="75" customFormat="1" ht="14.25">
      <c r="A20" s="35" t="s">
        <v>83</v>
      </c>
      <c r="B20" s="36" t="s">
        <v>18</v>
      </c>
      <c r="C20" s="37" t="s">
        <v>16</v>
      </c>
      <c r="D20" s="99">
        <f>D21+D26+D28</f>
        <v>1062.0507407999999</v>
      </c>
      <c r="E20" s="100">
        <f>E21+E26+E28</f>
        <v>627.789796029</v>
      </c>
      <c r="F20" s="76"/>
      <c r="G20" s="73"/>
      <c r="H20" s="74"/>
    </row>
    <row r="21" spans="1:8" s="28" customFormat="1" ht="15">
      <c r="A21" s="20" t="s">
        <v>84</v>
      </c>
      <c r="B21" s="21" t="s">
        <v>19</v>
      </c>
      <c r="C21" s="22" t="s">
        <v>16</v>
      </c>
      <c r="D21" s="101">
        <f>D22+D23+D24</f>
        <v>516.8764047999999</v>
      </c>
      <c r="E21" s="102">
        <f>E22+E23+E24</f>
        <v>72.153890829</v>
      </c>
      <c r="F21" s="143"/>
      <c r="G21" s="68"/>
      <c r="H21" s="77"/>
    </row>
    <row r="22" spans="1:8" s="28" customFormat="1" ht="28.5" customHeight="1">
      <c r="A22" s="24" t="s">
        <v>20</v>
      </c>
      <c r="B22" s="21" t="s">
        <v>21</v>
      </c>
      <c r="C22" s="22" t="s">
        <v>16</v>
      </c>
      <c r="D22" s="101">
        <f>1032.77*G15</f>
        <v>90.8011384</v>
      </c>
      <c r="E22" s="103">
        <f>145.26731*H15</f>
        <v>11.374430373</v>
      </c>
      <c r="F22" s="143" t="s">
        <v>142</v>
      </c>
      <c r="G22" s="68"/>
      <c r="H22" s="77"/>
    </row>
    <row r="23" spans="1:8" ht="15.75">
      <c r="A23" s="8" t="s">
        <v>23</v>
      </c>
      <c r="B23" s="6" t="s">
        <v>24</v>
      </c>
      <c r="C23" s="12" t="s">
        <v>16</v>
      </c>
      <c r="D23" s="104"/>
      <c r="E23" s="105"/>
      <c r="F23" s="1" t="s">
        <v>17</v>
      </c>
      <c r="H23" s="78"/>
    </row>
    <row r="24" spans="1:8" ht="45">
      <c r="A24" s="9" t="s">
        <v>26</v>
      </c>
      <c r="B24" s="6" t="s">
        <v>27</v>
      </c>
      <c r="C24" s="12" t="s">
        <v>16</v>
      </c>
      <c r="D24" s="104">
        <f>4846.17*G15</f>
        <v>426.0752664</v>
      </c>
      <c r="E24" s="106">
        <f>776.23832*H15</f>
        <v>60.779460456</v>
      </c>
      <c r="F24" s="145" t="s">
        <v>147</v>
      </c>
      <c r="H24" s="78"/>
    </row>
    <row r="25" spans="1:8" ht="15.75">
      <c r="A25" s="8" t="s">
        <v>28</v>
      </c>
      <c r="B25" s="6" t="s">
        <v>29</v>
      </c>
      <c r="C25" s="12" t="s">
        <v>16</v>
      </c>
      <c r="D25" s="107" t="s">
        <v>30</v>
      </c>
      <c r="E25" s="108" t="s">
        <v>22</v>
      </c>
      <c r="F25" s="1" t="s">
        <v>17</v>
      </c>
      <c r="H25" s="78"/>
    </row>
    <row r="26" spans="1:8" ht="15">
      <c r="A26" s="9" t="s">
        <v>85</v>
      </c>
      <c r="B26" s="6" t="s">
        <v>31</v>
      </c>
      <c r="C26" s="12" t="s">
        <v>16</v>
      </c>
      <c r="D26" s="109">
        <f>4368.74*G15</f>
        <v>384.09962079999997</v>
      </c>
      <c r="E26" s="105">
        <f>3373.06137*H15</f>
        <v>264.110705271</v>
      </c>
      <c r="F26" s="143" t="s">
        <v>143</v>
      </c>
      <c r="H26" s="78"/>
    </row>
    <row r="27" spans="1:8" ht="15.75">
      <c r="A27" s="8" t="s">
        <v>32</v>
      </c>
      <c r="B27" s="6" t="s">
        <v>29</v>
      </c>
      <c r="C27" s="12" t="s">
        <v>16</v>
      </c>
      <c r="D27" s="109">
        <f>D26</f>
        <v>384.09962079999997</v>
      </c>
      <c r="E27" s="105">
        <f>E26</f>
        <v>264.110705271</v>
      </c>
      <c r="F27" s="1" t="s">
        <v>17</v>
      </c>
      <c r="H27" s="78"/>
    </row>
    <row r="28" spans="1:8" ht="15">
      <c r="A28" s="8" t="s">
        <v>86</v>
      </c>
      <c r="B28" s="6" t="s">
        <v>124</v>
      </c>
      <c r="C28" s="12" t="s">
        <v>16</v>
      </c>
      <c r="D28" s="109">
        <f>D29+D30+D31</f>
        <v>161.0747152</v>
      </c>
      <c r="E28" s="104">
        <f>E29+E30+E31</f>
        <v>291.52519992900005</v>
      </c>
      <c r="F28" s="1"/>
      <c r="H28" s="78"/>
    </row>
    <row r="29" spans="1:8" ht="34.5">
      <c r="A29" s="8" t="s">
        <v>33</v>
      </c>
      <c r="B29" s="6" t="s">
        <v>123</v>
      </c>
      <c r="C29" s="12" t="s">
        <v>16</v>
      </c>
      <c r="D29" s="109">
        <f>(3092.06-2200)*G15</f>
        <v>78.4299152</v>
      </c>
      <c r="E29" s="105">
        <f>2476.33658*H15</f>
        <v>193.897154214</v>
      </c>
      <c r="F29" s="143" t="s">
        <v>149</v>
      </c>
      <c r="H29" s="78"/>
    </row>
    <row r="30" spans="1:8" ht="23.25">
      <c r="A30" s="8" t="s">
        <v>35</v>
      </c>
      <c r="B30" s="6" t="s">
        <v>121</v>
      </c>
      <c r="C30" s="12" t="s">
        <v>16</v>
      </c>
      <c r="D30" s="104">
        <f>940*G15</f>
        <v>82.6448</v>
      </c>
      <c r="E30" s="110">
        <f>1109.81221*H15</f>
        <v>86.898296043</v>
      </c>
      <c r="F30" s="143" t="s">
        <v>144</v>
      </c>
      <c r="H30" s="78"/>
    </row>
    <row r="31" spans="1:8" ht="34.5">
      <c r="A31" s="8" t="s">
        <v>37</v>
      </c>
      <c r="B31" s="6" t="s">
        <v>120</v>
      </c>
      <c r="C31" s="12" t="s">
        <v>16</v>
      </c>
      <c r="D31" s="107"/>
      <c r="E31" s="105">
        <f>137.03384*H15</f>
        <v>10.729749671999999</v>
      </c>
      <c r="F31" s="143" t="s">
        <v>148</v>
      </c>
      <c r="H31" s="78"/>
    </row>
    <row r="32" spans="1:8" ht="30" customHeight="1">
      <c r="A32" s="9" t="s">
        <v>33</v>
      </c>
      <c r="B32" s="6" t="s">
        <v>34</v>
      </c>
      <c r="C32" s="12" t="s">
        <v>16</v>
      </c>
      <c r="D32" s="107"/>
      <c r="E32" s="108"/>
      <c r="F32" s="5" t="s">
        <v>17</v>
      </c>
      <c r="H32" s="78"/>
    </row>
    <row r="33" spans="1:8" ht="15.75">
      <c r="A33" s="8" t="s">
        <v>35</v>
      </c>
      <c r="B33" s="6" t="s">
        <v>36</v>
      </c>
      <c r="C33" s="12" t="s">
        <v>16</v>
      </c>
      <c r="D33" s="107" t="s">
        <v>30</v>
      </c>
      <c r="E33" s="108" t="s">
        <v>22</v>
      </c>
      <c r="F33" s="1" t="s">
        <v>17</v>
      </c>
      <c r="H33" s="78"/>
    </row>
    <row r="34" spans="1:8" ht="15.75">
      <c r="A34" s="8" t="s">
        <v>37</v>
      </c>
      <c r="B34" s="6" t="s">
        <v>38</v>
      </c>
      <c r="C34" s="12" t="s">
        <v>16</v>
      </c>
      <c r="D34" s="107" t="s">
        <v>22</v>
      </c>
      <c r="E34" s="108" t="s">
        <v>22</v>
      </c>
      <c r="F34" s="1" t="s">
        <v>17</v>
      </c>
      <c r="H34" s="78"/>
    </row>
    <row r="35" spans="1:8" ht="30">
      <c r="A35" s="8" t="s">
        <v>87</v>
      </c>
      <c r="B35" s="6" t="s">
        <v>39</v>
      </c>
      <c r="C35" s="12" t="s">
        <v>16</v>
      </c>
      <c r="D35" s="107" t="s">
        <v>22</v>
      </c>
      <c r="E35" s="108" t="s">
        <v>22</v>
      </c>
      <c r="F35" s="1"/>
      <c r="H35" s="78"/>
    </row>
    <row r="36" spans="1:8" ht="15">
      <c r="A36" s="9" t="s">
        <v>88</v>
      </c>
      <c r="B36" s="6" t="s">
        <v>40</v>
      </c>
      <c r="C36" s="12" t="s">
        <v>16</v>
      </c>
      <c r="D36" s="107" t="s">
        <v>25</v>
      </c>
      <c r="E36" s="108" t="s">
        <v>22</v>
      </c>
      <c r="F36" s="1"/>
      <c r="H36" s="78"/>
    </row>
    <row r="37" spans="1:8" s="82" customFormat="1" ht="29.25">
      <c r="A37" s="38" t="s">
        <v>89</v>
      </c>
      <c r="B37" s="39" t="s">
        <v>41</v>
      </c>
      <c r="C37" s="40" t="s">
        <v>16</v>
      </c>
      <c r="D37" s="111">
        <f>D41+D43+D45+D50</f>
        <v>577.001461812731</v>
      </c>
      <c r="E37" s="111">
        <f>E41+E43+E45+E50</f>
        <v>351.239975352</v>
      </c>
      <c r="F37" s="79" t="s">
        <v>135</v>
      </c>
      <c r="G37" s="80"/>
      <c r="H37" s="81"/>
    </row>
    <row r="38" spans="1:8" ht="15.75">
      <c r="A38" s="8" t="s">
        <v>90</v>
      </c>
      <c r="B38" s="6" t="s">
        <v>42</v>
      </c>
      <c r="C38" s="12" t="s">
        <v>16</v>
      </c>
      <c r="D38" s="107" t="s">
        <v>25</v>
      </c>
      <c r="E38" s="108" t="s">
        <v>22</v>
      </c>
      <c r="F38" s="1" t="s">
        <v>17</v>
      </c>
      <c r="H38" s="78"/>
    </row>
    <row r="39" spans="1:8" ht="30">
      <c r="A39" s="9" t="s">
        <v>101</v>
      </c>
      <c r="B39" s="6" t="s">
        <v>43</v>
      </c>
      <c r="C39" s="12" t="s">
        <v>16</v>
      </c>
      <c r="D39" s="107" t="s">
        <v>22</v>
      </c>
      <c r="E39" s="108" t="s">
        <v>22</v>
      </c>
      <c r="F39" s="1"/>
      <c r="H39" s="78"/>
    </row>
    <row r="40" spans="1:8" ht="23.25">
      <c r="A40" s="9" t="s">
        <v>91</v>
      </c>
      <c r="B40" s="6" t="s">
        <v>44</v>
      </c>
      <c r="C40" s="12" t="s">
        <v>16</v>
      </c>
      <c r="D40" s="107"/>
      <c r="E40" s="105">
        <f>22.16364*H15</f>
        <v>1.735413012</v>
      </c>
      <c r="F40" s="143" t="s">
        <v>150</v>
      </c>
      <c r="H40" s="78"/>
    </row>
    <row r="41" spans="1:8" ht="15">
      <c r="A41" s="9" t="s">
        <v>92</v>
      </c>
      <c r="B41" s="6" t="s">
        <v>45</v>
      </c>
      <c r="C41" s="12" t="s">
        <v>16</v>
      </c>
      <c r="D41" s="109">
        <f>D26*0.306999495514032</f>
        <v>117.91838981273098</v>
      </c>
      <c r="E41" s="110">
        <f>1482.40403*H15</f>
        <v>116.07223554899998</v>
      </c>
      <c r="F41" s="143" t="s">
        <v>143</v>
      </c>
      <c r="H41" s="78"/>
    </row>
    <row r="42" spans="1:8" ht="44.25" customHeight="1">
      <c r="A42" s="9" t="s">
        <v>93</v>
      </c>
      <c r="B42" s="6" t="s">
        <v>46</v>
      </c>
      <c r="C42" s="12" t="s">
        <v>16</v>
      </c>
      <c r="D42" s="107" t="s">
        <v>22</v>
      </c>
      <c r="E42" s="108" t="s">
        <v>22</v>
      </c>
      <c r="F42" s="1" t="s">
        <v>17</v>
      </c>
      <c r="H42" s="78"/>
    </row>
    <row r="43" spans="1:8" ht="45.75">
      <c r="A43" s="9" t="s">
        <v>94</v>
      </c>
      <c r="B43" s="6" t="s">
        <v>47</v>
      </c>
      <c r="C43" s="12" t="s">
        <v>16</v>
      </c>
      <c r="D43" s="109">
        <f>3021.6*G15</f>
        <v>265.659072</v>
      </c>
      <c r="E43" s="105">
        <f>525.75086*H15</f>
        <v>41.166292338</v>
      </c>
      <c r="F43" s="143" t="s">
        <v>145</v>
      </c>
      <c r="H43" s="78"/>
    </row>
    <row r="44" spans="1:8" ht="15.75">
      <c r="A44" s="9" t="s">
        <v>95</v>
      </c>
      <c r="B44" s="6" t="s">
        <v>48</v>
      </c>
      <c r="C44" s="12" t="s">
        <v>16</v>
      </c>
      <c r="D44" s="107" t="s">
        <v>22</v>
      </c>
      <c r="E44" s="108"/>
      <c r="F44" s="1" t="s">
        <v>17</v>
      </c>
      <c r="H44" s="78"/>
    </row>
    <row r="45" spans="1:8" ht="15.75">
      <c r="A45" s="9" t="s">
        <v>96</v>
      </c>
      <c r="B45" s="6" t="s">
        <v>49</v>
      </c>
      <c r="C45" s="12" t="s">
        <v>16</v>
      </c>
      <c r="D45" s="104"/>
      <c r="E45" s="108"/>
      <c r="F45" s="1" t="s">
        <v>17</v>
      </c>
      <c r="H45" s="78"/>
    </row>
    <row r="46" spans="1:8" ht="15.75">
      <c r="A46" s="9" t="s">
        <v>97</v>
      </c>
      <c r="B46" s="6" t="s">
        <v>50</v>
      </c>
      <c r="C46" s="12" t="s">
        <v>16</v>
      </c>
      <c r="D46" s="107" t="s">
        <v>22</v>
      </c>
      <c r="E46" s="108"/>
      <c r="F46" s="1" t="s">
        <v>17</v>
      </c>
      <c r="H46" s="78"/>
    </row>
    <row r="47" spans="1:8" ht="45">
      <c r="A47" s="9" t="s">
        <v>98</v>
      </c>
      <c r="B47" s="6" t="s">
        <v>51</v>
      </c>
      <c r="C47" s="12" t="s">
        <v>16</v>
      </c>
      <c r="D47" s="107" t="s">
        <v>25</v>
      </c>
      <c r="E47" s="108" t="s">
        <v>22</v>
      </c>
      <c r="F47" s="1" t="s">
        <v>17</v>
      </c>
      <c r="H47" s="78"/>
    </row>
    <row r="48" spans="1:8" ht="30">
      <c r="A48" s="9" t="s">
        <v>52</v>
      </c>
      <c r="B48" s="6" t="s">
        <v>53</v>
      </c>
      <c r="C48" s="13" t="s">
        <v>54</v>
      </c>
      <c r="D48" s="107" t="s">
        <v>22</v>
      </c>
      <c r="E48" s="108" t="s">
        <v>22</v>
      </c>
      <c r="F48" s="5"/>
      <c r="H48" s="78"/>
    </row>
    <row r="49" spans="1:8" ht="75">
      <c r="A49" s="9" t="s">
        <v>102</v>
      </c>
      <c r="B49" s="6" t="s">
        <v>122</v>
      </c>
      <c r="C49" s="12" t="s">
        <v>16</v>
      </c>
      <c r="D49" s="107" t="s">
        <v>22</v>
      </c>
      <c r="E49" s="108" t="s">
        <v>22</v>
      </c>
      <c r="F49" s="5"/>
      <c r="H49" s="78"/>
    </row>
    <row r="50" spans="1:8" ht="45">
      <c r="A50" s="8" t="s">
        <v>99</v>
      </c>
      <c r="B50" s="6" t="s">
        <v>55</v>
      </c>
      <c r="C50" s="12" t="s">
        <v>16</v>
      </c>
      <c r="D50" s="105">
        <f>2200*G15</f>
        <v>193.424</v>
      </c>
      <c r="E50" s="105">
        <f>2477.66855*H15</f>
        <v>194.00144746499998</v>
      </c>
      <c r="F50" s="1" t="s">
        <v>17</v>
      </c>
      <c r="H50" s="78"/>
    </row>
    <row r="51" spans="1:8" ht="45.75" thickBot="1">
      <c r="A51" s="10" t="s">
        <v>100</v>
      </c>
      <c r="B51" s="7" t="s">
        <v>56</v>
      </c>
      <c r="C51" s="14" t="s">
        <v>16</v>
      </c>
      <c r="D51" s="112" t="s">
        <v>22</v>
      </c>
      <c r="E51" s="113" t="s">
        <v>22</v>
      </c>
      <c r="F51" s="83" t="s">
        <v>17</v>
      </c>
      <c r="H51" s="78"/>
    </row>
    <row r="52" spans="1:8" ht="30.75" thickBot="1">
      <c r="A52" s="2" t="s">
        <v>57</v>
      </c>
      <c r="B52" s="3" t="s">
        <v>103</v>
      </c>
      <c r="C52" s="4" t="s">
        <v>16</v>
      </c>
      <c r="D52" s="114">
        <f>D23+D27+D32</f>
        <v>384.09962079999997</v>
      </c>
      <c r="E52" s="115">
        <f>E23+E27+E32</f>
        <v>264.110705271</v>
      </c>
      <c r="F52" s="143" t="s">
        <v>151</v>
      </c>
      <c r="H52" s="78"/>
    </row>
    <row r="53" spans="1:8" ht="30">
      <c r="A53" s="41" t="s">
        <v>58</v>
      </c>
      <c r="B53" s="42" t="s">
        <v>59</v>
      </c>
      <c r="C53" s="11" t="s">
        <v>16</v>
      </c>
      <c r="D53" s="116"/>
      <c r="E53" s="117"/>
      <c r="F53" s="85" t="s">
        <v>17</v>
      </c>
      <c r="H53" s="78"/>
    </row>
    <row r="54" spans="1:8" ht="15.75">
      <c r="A54" s="43" t="s">
        <v>83</v>
      </c>
      <c r="B54" s="44" t="s">
        <v>104</v>
      </c>
      <c r="C54" s="13" t="s">
        <v>60</v>
      </c>
      <c r="D54" s="118">
        <v>346.2</v>
      </c>
      <c r="E54" s="119">
        <v>250.238</v>
      </c>
      <c r="F54" s="86"/>
      <c r="H54" s="78"/>
    </row>
    <row r="55" spans="1:8" ht="61.5" customHeight="1" thickBot="1">
      <c r="A55" s="45" t="s">
        <v>89</v>
      </c>
      <c r="B55" s="46" t="s">
        <v>125</v>
      </c>
      <c r="C55" s="47" t="s">
        <v>16</v>
      </c>
      <c r="D55" s="120" t="s">
        <v>22</v>
      </c>
      <c r="E55" s="121" t="s">
        <v>22</v>
      </c>
      <c r="F55" s="87"/>
      <c r="H55" s="78"/>
    </row>
    <row r="56" spans="1:8" ht="64.5" customHeight="1">
      <c r="A56" s="48" t="s">
        <v>61</v>
      </c>
      <c r="B56" s="42" t="s">
        <v>105</v>
      </c>
      <c r="C56" s="11" t="s">
        <v>13</v>
      </c>
      <c r="D56" s="116" t="s">
        <v>13</v>
      </c>
      <c r="E56" s="122" t="s">
        <v>13</v>
      </c>
      <c r="F56" s="88" t="s">
        <v>14</v>
      </c>
      <c r="H56" s="78"/>
    </row>
    <row r="57" spans="1:8" ht="30" customHeight="1" thickBot="1">
      <c r="A57" s="45">
        <v>1</v>
      </c>
      <c r="B57" s="49" t="s">
        <v>62</v>
      </c>
      <c r="C57" s="47" t="s">
        <v>63</v>
      </c>
      <c r="D57" s="120" t="s">
        <v>25</v>
      </c>
      <c r="E57" s="121" t="s">
        <v>22</v>
      </c>
      <c r="F57" s="89" t="s">
        <v>17</v>
      </c>
      <c r="H57" s="78"/>
    </row>
    <row r="58" spans="1:8" ht="15" customHeight="1">
      <c r="A58" s="50">
        <v>2</v>
      </c>
      <c r="B58" s="51" t="s">
        <v>64</v>
      </c>
      <c r="C58" s="52" t="s">
        <v>65</v>
      </c>
      <c r="D58" s="116" t="s">
        <v>66</v>
      </c>
      <c r="E58" s="122">
        <v>286</v>
      </c>
      <c r="F58" s="90" t="s">
        <v>17</v>
      </c>
      <c r="H58" s="78"/>
    </row>
    <row r="59" spans="1:8" ht="30.75" thickBot="1">
      <c r="A59" s="53" t="s">
        <v>110</v>
      </c>
      <c r="B59" s="46" t="s">
        <v>111</v>
      </c>
      <c r="C59" s="47" t="s">
        <v>65</v>
      </c>
      <c r="D59" s="120">
        <v>286</v>
      </c>
      <c r="E59" s="121">
        <v>286</v>
      </c>
      <c r="F59" s="87" t="s">
        <v>17</v>
      </c>
      <c r="H59" s="78"/>
    </row>
    <row r="60" spans="1:8" ht="30">
      <c r="A60" s="48">
        <v>3</v>
      </c>
      <c r="B60" s="42" t="s">
        <v>67</v>
      </c>
      <c r="C60" s="11" t="s">
        <v>68</v>
      </c>
      <c r="D60" s="123">
        <f>SUM(D61:D64)</f>
        <v>552.86</v>
      </c>
      <c r="E60" s="124">
        <f>SUM(E61:E64)</f>
        <v>550.36</v>
      </c>
      <c r="F60" s="85" t="s">
        <v>17</v>
      </c>
      <c r="H60" s="78"/>
    </row>
    <row r="61" spans="1:8" ht="30">
      <c r="A61" s="43" t="s">
        <v>69</v>
      </c>
      <c r="B61" s="44" t="s">
        <v>70</v>
      </c>
      <c r="C61" s="12" t="s">
        <v>68</v>
      </c>
      <c r="D61" s="125">
        <v>7.68</v>
      </c>
      <c r="E61" s="126">
        <v>7.68</v>
      </c>
      <c r="F61" s="91" t="s">
        <v>17</v>
      </c>
      <c r="H61" s="78"/>
    </row>
    <row r="62" spans="1:8" ht="30">
      <c r="A62" s="43" t="s">
        <v>106</v>
      </c>
      <c r="B62" s="44" t="s">
        <v>71</v>
      </c>
      <c r="C62" s="12" t="s">
        <v>68</v>
      </c>
      <c r="D62" s="125">
        <v>234.35</v>
      </c>
      <c r="E62" s="127">
        <v>234.35</v>
      </c>
      <c r="F62" s="91"/>
      <c r="H62" s="78"/>
    </row>
    <row r="63" spans="1:8" ht="30">
      <c r="A63" s="43" t="s">
        <v>107</v>
      </c>
      <c r="B63" s="44" t="s">
        <v>72</v>
      </c>
      <c r="C63" s="12" t="s">
        <v>68</v>
      </c>
      <c r="D63" s="125">
        <v>271.95</v>
      </c>
      <c r="E63" s="126">
        <v>269.45</v>
      </c>
      <c r="F63" s="86"/>
      <c r="H63" s="78"/>
    </row>
    <row r="64" spans="1:8" ht="30.75" thickBot="1">
      <c r="A64" s="54" t="s">
        <v>108</v>
      </c>
      <c r="B64" s="55" t="s">
        <v>73</v>
      </c>
      <c r="C64" s="14" t="s">
        <v>68</v>
      </c>
      <c r="D64" s="128">
        <v>38.88</v>
      </c>
      <c r="E64" s="129">
        <v>38.88</v>
      </c>
      <c r="F64" s="92"/>
      <c r="H64" s="78"/>
    </row>
    <row r="65" spans="1:8" ht="15.75">
      <c r="A65" s="56">
        <v>4</v>
      </c>
      <c r="B65" s="57" t="s">
        <v>74</v>
      </c>
      <c r="C65" s="58" t="s">
        <v>68</v>
      </c>
      <c r="D65" s="130"/>
      <c r="E65" s="131"/>
      <c r="F65" s="93" t="s">
        <v>17</v>
      </c>
      <c r="H65" s="78"/>
    </row>
    <row r="66" spans="1:8" ht="30.75" thickBot="1">
      <c r="A66" s="53" t="s">
        <v>75</v>
      </c>
      <c r="B66" s="46" t="s">
        <v>76</v>
      </c>
      <c r="C66" s="47" t="s">
        <v>68</v>
      </c>
      <c r="D66" s="120"/>
      <c r="E66" s="132"/>
      <c r="F66" s="87" t="s">
        <v>17</v>
      </c>
      <c r="H66" s="78"/>
    </row>
    <row r="67" spans="1:8" ht="16.5" thickBot="1">
      <c r="A67" s="41">
        <v>5</v>
      </c>
      <c r="B67" s="42" t="s">
        <v>77</v>
      </c>
      <c r="C67" s="11" t="s">
        <v>78</v>
      </c>
      <c r="D67" s="133">
        <f>SUM(D68:D71)</f>
        <v>146.8</v>
      </c>
      <c r="E67" s="134">
        <f>SUM(E68:E71)</f>
        <v>146.27</v>
      </c>
      <c r="F67" s="85" t="s">
        <v>17</v>
      </c>
      <c r="H67" s="78"/>
    </row>
    <row r="68" spans="1:8" ht="30">
      <c r="A68" s="43" t="s">
        <v>112</v>
      </c>
      <c r="B68" s="44" t="s">
        <v>116</v>
      </c>
      <c r="C68" s="12" t="s">
        <v>78</v>
      </c>
      <c r="D68" s="131">
        <v>4.8</v>
      </c>
      <c r="E68" s="131">
        <v>4.8</v>
      </c>
      <c r="F68" s="91" t="s">
        <v>17</v>
      </c>
      <c r="H68" s="78"/>
    </row>
    <row r="69" spans="1:8" ht="30">
      <c r="A69" s="43" t="s">
        <v>113</v>
      </c>
      <c r="B69" s="44" t="s">
        <v>117</v>
      </c>
      <c r="C69" s="12" t="s">
        <v>78</v>
      </c>
      <c r="D69" s="118">
        <v>49.9</v>
      </c>
      <c r="E69" s="135">
        <v>49.9</v>
      </c>
      <c r="F69" s="91"/>
      <c r="H69" s="78"/>
    </row>
    <row r="70" spans="1:8" ht="30">
      <c r="A70" s="43" t="s">
        <v>114</v>
      </c>
      <c r="B70" s="44" t="s">
        <v>118</v>
      </c>
      <c r="C70" s="12" t="s">
        <v>78</v>
      </c>
      <c r="D70" s="118">
        <v>77.7</v>
      </c>
      <c r="E70" s="135">
        <v>77.17</v>
      </c>
      <c r="F70" s="91"/>
      <c r="H70" s="78"/>
    </row>
    <row r="71" spans="1:8" ht="30.75" thickBot="1">
      <c r="A71" s="54" t="s">
        <v>115</v>
      </c>
      <c r="B71" s="55" t="s">
        <v>119</v>
      </c>
      <c r="C71" s="14" t="s">
        <v>78</v>
      </c>
      <c r="D71" s="118">
        <v>14.4</v>
      </c>
      <c r="E71" s="135">
        <v>14.4</v>
      </c>
      <c r="F71" s="94"/>
      <c r="H71" s="78"/>
    </row>
    <row r="72" spans="1:8" ht="16.5" thickBot="1">
      <c r="A72" s="59">
        <v>6</v>
      </c>
      <c r="B72" s="60" t="s">
        <v>79</v>
      </c>
      <c r="C72" s="4" t="s">
        <v>80</v>
      </c>
      <c r="D72" s="136">
        <v>99.48</v>
      </c>
      <c r="E72" s="137">
        <v>99.48</v>
      </c>
      <c r="F72" s="95" t="s">
        <v>17</v>
      </c>
      <c r="H72" s="78"/>
    </row>
    <row r="73" spans="1:8" ht="30">
      <c r="A73" s="61">
        <v>7</v>
      </c>
      <c r="B73" s="57" t="s">
        <v>81</v>
      </c>
      <c r="C73" s="58" t="s">
        <v>16</v>
      </c>
      <c r="D73" s="130" t="s">
        <v>22</v>
      </c>
      <c r="E73" s="138" t="s">
        <v>22</v>
      </c>
      <c r="F73" s="93" t="s">
        <v>17</v>
      </c>
      <c r="H73" s="78"/>
    </row>
    <row r="74" spans="1:8" ht="30.75" thickBot="1">
      <c r="A74" s="54" t="s">
        <v>109</v>
      </c>
      <c r="B74" s="55" t="s">
        <v>82</v>
      </c>
      <c r="C74" s="14" t="s">
        <v>16</v>
      </c>
      <c r="D74" s="139" t="s">
        <v>22</v>
      </c>
      <c r="E74" s="140" t="s">
        <v>22</v>
      </c>
      <c r="F74" s="92" t="s">
        <v>17</v>
      </c>
      <c r="H74" s="78"/>
    </row>
    <row r="75" spans="1:8" ht="30.75" thickBot="1">
      <c r="A75" s="62">
        <v>8</v>
      </c>
      <c r="B75" s="63" t="s">
        <v>126</v>
      </c>
      <c r="C75" s="4" t="s">
        <v>80</v>
      </c>
      <c r="D75" s="141"/>
      <c r="E75" s="142" t="s">
        <v>13</v>
      </c>
      <c r="F75" s="96" t="s">
        <v>14</v>
      </c>
      <c r="H75" s="78"/>
    </row>
    <row r="76" spans="1:8" ht="12.75">
      <c r="A76" s="64"/>
      <c r="B76" s="65"/>
      <c r="H76" s="78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</sheetData>
  <sheetProtection/>
  <mergeCells count="13">
    <mergeCell ref="F16:F17"/>
    <mergeCell ref="A16:A17"/>
    <mergeCell ref="B16:B17"/>
    <mergeCell ref="C16:C17"/>
    <mergeCell ref="D16:E16"/>
    <mergeCell ref="A9:F9"/>
    <mergeCell ref="A8:F8"/>
    <mergeCell ref="A7:F7"/>
    <mergeCell ref="A6:F6"/>
    <mergeCell ref="A14:F14"/>
    <mergeCell ref="A11:F11"/>
    <mergeCell ref="A12:F12"/>
    <mergeCell ref="A13:F13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="110" zoomScaleNormal="110" zoomScalePageLayoutView="0" workbookViewId="0" topLeftCell="C13">
      <selection activeCell="G15" sqref="G15"/>
    </sheetView>
  </sheetViews>
  <sheetFormatPr defaultColWidth="9.00390625" defaultRowHeight="12.75"/>
  <cols>
    <col min="1" max="1" width="10.00390625" style="25" customWidth="1"/>
    <col min="2" max="2" width="56.375" style="25" customWidth="1"/>
    <col min="3" max="3" width="11.625" style="25" customWidth="1"/>
    <col min="4" max="4" width="10.75390625" style="0" customWidth="1"/>
    <col min="5" max="5" width="10.875" style="25" customWidth="1"/>
    <col min="6" max="6" width="24.625" style="25" customWidth="1"/>
    <col min="7" max="7" width="9.125" style="67" customWidth="1"/>
    <col min="8" max="8" width="14.00390625" style="67" customWidth="1"/>
    <col min="9" max="16384" width="9.125" style="25" customWidth="1"/>
  </cols>
  <sheetData>
    <row r="1" ht="12.75">
      <c r="F1" s="66" t="s">
        <v>127</v>
      </c>
    </row>
    <row r="2" ht="12.75">
      <c r="F2" s="66" t="s">
        <v>128</v>
      </c>
    </row>
    <row r="3" ht="12.75">
      <c r="F3" s="25" t="s">
        <v>138</v>
      </c>
    </row>
    <row r="6" spans="1:6" ht="18.75">
      <c r="A6" s="182" t="s">
        <v>0</v>
      </c>
      <c r="B6" s="182"/>
      <c r="C6" s="182"/>
      <c r="D6" s="182"/>
      <c r="E6" s="182"/>
      <c r="F6" s="182"/>
    </row>
    <row r="7" spans="1:6" ht="18.75">
      <c r="A7" s="182" t="s">
        <v>1</v>
      </c>
      <c r="B7" s="182"/>
      <c r="C7" s="182"/>
      <c r="D7" s="182"/>
      <c r="E7" s="182"/>
      <c r="F7" s="182"/>
    </row>
    <row r="8" spans="1:6" ht="18.75">
      <c r="A8" s="182" t="s">
        <v>2</v>
      </c>
      <c r="B8" s="182"/>
      <c r="C8" s="182"/>
      <c r="D8" s="182"/>
      <c r="E8" s="182"/>
      <c r="F8" s="182"/>
    </row>
    <row r="9" spans="1:6" ht="20.25" customHeight="1">
      <c r="A9" s="196" t="s">
        <v>3</v>
      </c>
      <c r="B9" s="196"/>
      <c r="C9" s="196"/>
      <c r="D9" s="196"/>
      <c r="E9" s="196"/>
      <c r="F9" s="196"/>
    </row>
    <row r="10" ht="18.75">
      <c r="A10" s="26"/>
    </row>
    <row r="11" spans="1:8" s="28" customFormat="1" ht="37.5" customHeight="1">
      <c r="A11" s="184" t="s">
        <v>141</v>
      </c>
      <c r="B11" s="184"/>
      <c r="C11" s="184"/>
      <c r="D11" s="184"/>
      <c r="E11" s="184"/>
      <c r="F11" s="184"/>
      <c r="G11" s="68"/>
      <c r="H11" s="68"/>
    </row>
    <row r="12" spans="1:8" s="28" customFormat="1" ht="18.75">
      <c r="A12" s="185" t="s">
        <v>131</v>
      </c>
      <c r="B12" s="185"/>
      <c r="C12" s="185"/>
      <c r="D12" s="185"/>
      <c r="E12" s="185"/>
      <c r="F12" s="185"/>
      <c r="G12" s="68"/>
      <c r="H12" s="68"/>
    </row>
    <row r="13" spans="1:8" s="28" customFormat="1" ht="18.75">
      <c r="A13" s="185" t="s">
        <v>140</v>
      </c>
      <c r="B13" s="185"/>
      <c r="C13" s="185"/>
      <c r="D13" s="185"/>
      <c r="E13" s="185"/>
      <c r="F13" s="185"/>
      <c r="G13" s="68"/>
      <c r="H13" s="68"/>
    </row>
    <row r="14" spans="1:8" s="28" customFormat="1" ht="18.75">
      <c r="A14" s="183" t="s">
        <v>130</v>
      </c>
      <c r="B14" s="183"/>
      <c r="C14" s="183"/>
      <c r="D14" s="183"/>
      <c r="E14" s="183"/>
      <c r="F14" s="183"/>
      <c r="G14" s="68" t="s">
        <v>136</v>
      </c>
      <c r="H14" s="68" t="s">
        <v>137</v>
      </c>
    </row>
    <row r="15" spans="1:8" s="28" customFormat="1" ht="19.5" thickBot="1">
      <c r="A15" s="27"/>
      <c r="D15" s="15"/>
      <c r="F15" s="69"/>
      <c r="G15" s="77">
        <v>0.0642</v>
      </c>
      <c r="H15" s="77">
        <v>0.0645</v>
      </c>
    </row>
    <row r="16" spans="1:8" s="28" customFormat="1" ht="15" thickBot="1">
      <c r="A16" s="188" t="s">
        <v>5</v>
      </c>
      <c r="B16" s="190" t="s">
        <v>6</v>
      </c>
      <c r="C16" s="192" t="s">
        <v>7</v>
      </c>
      <c r="D16" s="194" t="s">
        <v>139</v>
      </c>
      <c r="E16" s="195"/>
      <c r="F16" s="186" t="s">
        <v>8</v>
      </c>
      <c r="G16" s="68"/>
      <c r="H16" s="68"/>
    </row>
    <row r="17" spans="1:8" s="28" customFormat="1" ht="15.75" thickBot="1">
      <c r="A17" s="189"/>
      <c r="B17" s="191"/>
      <c r="C17" s="193"/>
      <c r="D17" s="16" t="s">
        <v>9</v>
      </c>
      <c r="E17" s="152" t="s">
        <v>10</v>
      </c>
      <c r="F17" s="187"/>
      <c r="G17" s="68"/>
      <c r="H17" s="68"/>
    </row>
    <row r="18" spans="1:9" s="28" customFormat="1" ht="16.5" thickBot="1">
      <c r="A18" s="29" t="s">
        <v>11</v>
      </c>
      <c r="B18" s="30" t="s">
        <v>12</v>
      </c>
      <c r="C18" s="31" t="s">
        <v>13</v>
      </c>
      <c r="D18" s="18" t="s">
        <v>13</v>
      </c>
      <c r="E18" s="153" t="s">
        <v>13</v>
      </c>
      <c r="F18" s="71" t="s">
        <v>14</v>
      </c>
      <c r="G18" s="68"/>
      <c r="H18" s="68"/>
      <c r="I18" s="148"/>
    </row>
    <row r="19" spans="1:8" s="75" customFormat="1" ht="15.75">
      <c r="A19" s="32">
        <v>1</v>
      </c>
      <c r="B19" s="33" t="s">
        <v>15</v>
      </c>
      <c r="C19" s="34" t="s">
        <v>16</v>
      </c>
      <c r="D19" s="97">
        <f>D20+D37</f>
        <v>1085.7041759999997</v>
      </c>
      <c r="E19" s="154">
        <f>E20+E37</f>
        <v>1151.806097115</v>
      </c>
      <c r="F19" s="72" t="s">
        <v>134</v>
      </c>
      <c r="G19" s="73"/>
      <c r="H19" s="74"/>
    </row>
    <row r="20" spans="1:8" s="75" customFormat="1" ht="14.25">
      <c r="A20" s="35" t="s">
        <v>83</v>
      </c>
      <c r="B20" s="36" t="s">
        <v>18</v>
      </c>
      <c r="C20" s="37" t="s">
        <v>16</v>
      </c>
      <c r="D20" s="100">
        <f>D21+D26+D28</f>
        <v>832.2522753359998</v>
      </c>
      <c r="E20" s="155">
        <f>E21+E26+E28</f>
        <v>922.9125793200001</v>
      </c>
      <c r="F20" s="76"/>
      <c r="G20" s="73"/>
      <c r="H20" s="149"/>
    </row>
    <row r="21" spans="1:8" s="28" customFormat="1" ht="15.75">
      <c r="A21" s="20" t="s">
        <v>84</v>
      </c>
      <c r="B21" s="21" t="s">
        <v>19</v>
      </c>
      <c r="C21" s="22" t="s">
        <v>16</v>
      </c>
      <c r="D21" s="102">
        <f>D22+D23+D24</f>
        <v>379.3603679999999</v>
      </c>
      <c r="E21" s="156">
        <f>E22+E23+E24</f>
        <v>413.47749123000006</v>
      </c>
      <c r="F21" s="23" t="s">
        <v>133</v>
      </c>
      <c r="G21" s="68"/>
      <c r="H21" s="150"/>
    </row>
    <row r="22" spans="1:8" s="28" customFormat="1" ht="28.5" customHeight="1">
      <c r="A22" s="24" t="s">
        <v>20</v>
      </c>
      <c r="B22" s="21" t="s">
        <v>21</v>
      </c>
      <c r="C22" s="22" t="s">
        <v>16</v>
      </c>
      <c r="D22" s="101">
        <f>1038.06*G15</f>
        <v>66.643452</v>
      </c>
      <c r="E22" s="157">
        <f>1752.19165*H15</f>
        <v>113.016361425</v>
      </c>
      <c r="F22" s="143" t="s">
        <v>142</v>
      </c>
      <c r="G22" s="68"/>
      <c r="H22" s="77"/>
    </row>
    <row r="23" spans="1:8" ht="15.75">
      <c r="A23" s="8" t="s">
        <v>23</v>
      </c>
      <c r="B23" s="6" t="s">
        <v>24</v>
      </c>
      <c r="C23" s="12" t="s">
        <v>16</v>
      </c>
      <c r="D23" s="104"/>
      <c r="E23" s="151"/>
      <c r="F23" s="1" t="s">
        <v>17</v>
      </c>
      <c r="H23" s="78"/>
    </row>
    <row r="24" spans="1:8" ht="45">
      <c r="A24" s="9" t="s">
        <v>26</v>
      </c>
      <c r="B24" s="6" t="s">
        <v>27</v>
      </c>
      <c r="C24" s="12" t="s">
        <v>16</v>
      </c>
      <c r="D24" s="104">
        <f>4870.98*G15</f>
        <v>312.7169159999999</v>
      </c>
      <c r="E24" s="158">
        <f>4658.31209*H15</f>
        <v>300.46112980500004</v>
      </c>
      <c r="F24" s="1" t="s">
        <v>17</v>
      </c>
      <c r="H24" s="78"/>
    </row>
    <row r="25" spans="1:8" ht="15.75">
      <c r="A25" s="8" t="s">
        <v>28</v>
      </c>
      <c r="B25" s="6" t="s">
        <v>29</v>
      </c>
      <c r="C25" s="12" t="s">
        <v>16</v>
      </c>
      <c r="D25" s="107" t="s">
        <v>30</v>
      </c>
      <c r="E25" s="159" t="s">
        <v>22</v>
      </c>
      <c r="F25" s="1" t="s">
        <v>17</v>
      </c>
      <c r="H25" s="78"/>
    </row>
    <row r="26" spans="1:8" ht="15">
      <c r="A26" s="9" t="s">
        <v>85</v>
      </c>
      <c r="B26" s="6" t="s">
        <v>31</v>
      </c>
      <c r="C26" s="12" t="s">
        <v>16</v>
      </c>
      <c r="D26" s="109">
        <f>4391.09*G15</f>
        <v>281.90797799999996</v>
      </c>
      <c r="E26" s="151">
        <f>4560.41088*H15</f>
        <v>294.14650176000004</v>
      </c>
      <c r="F26" s="143"/>
      <c r="H26" s="147"/>
    </row>
    <row r="27" spans="1:8" ht="15.75">
      <c r="A27" s="8" t="s">
        <v>32</v>
      </c>
      <c r="B27" s="6" t="s">
        <v>29</v>
      </c>
      <c r="C27" s="12" t="s">
        <v>16</v>
      </c>
      <c r="D27" s="109">
        <f>D26</f>
        <v>281.90797799999996</v>
      </c>
      <c r="E27" s="151">
        <f>E26</f>
        <v>294.14650176000004</v>
      </c>
      <c r="F27" s="1" t="s">
        <v>17</v>
      </c>
      <c r="H27" s="78"/>
    </row>
    <row r="28" spans="1:8" ht="15">
      <c r="A28" s="8" t="s">
        <v>86</v>
      </c>
      <c r="B28" s="6" t="s">
        <v>124</v>
      </c>
      <c r="C28" s="12" t="s">
        <v>16</v>
      </c>
      <c r="D28" s="109">
        <f>D29+D30+D31</f>
        <v>170.983929336</v>
      </c>
      <c r="E28" s="160">
        <f>E29+E30+E31</f>
        <v>215.28858633</v>
      </c>
      <c r="F28" s="1"/>
      <c r="H28" s="78"/>
    </row>
    <row r="29" spans="1:8" ht="30">
      <c r="A29" s="8" t="s">
        <v>33</v>
      </c>
      <c r="B29" s="6" t="s">
        <v>123</v>
      </c>
      <c r="C29" s="12" t="s">
        <v>16</v>
      </c>
      <c r="D29" s="109">
        <f>(2873.36-1389.39892)*G15</f>
        <v>95.27030133599999</v>
      </c>
      <c r="E29" s="151">
        <f>2054.22*H15</f>
        <v>132.49719</v>
      </c>
      <c r="F29" s="143" t="s">
        <v>153</v>
      </c>
      <c r="H29" s="78"/>
    </row>
    <row r="30" spans="1:8" ht="23.25">
      <c r="A30" s="8" t="s">
        <v>35</v>
      </c>
      <c r="B30" s="6" t="s">
        <v>121</v>
      </c>
      <c r="C30" s="12" t="s">
        <v>16</v>
      </c>
      <c r="D30" s="104">
        <f>944.81*G15</f>
        <v>60.65680199999999</v>
      </c>
      <c r="E30" s="161">
        <f>1283.58754*H15</f>
        <v>82.79139633</v>
      </c>
      <c r="F30" s="143" t="s">
        <v>144</v>
      </c>
      <c r="H30" s="78"/>
    </row>
    <row r="31" spans="1:8" ht="15">
      <c r="A31" s="8" t="s">
        <v>37</v>
      </c>
      <c r="B31" s="6" t="s">
        <v>120</v>
      </c>
      <c r="C31" s="12" t="s">
        <v>16</v>
      </c>
      <c r="D31" s="109">
        <f>234.53*G15</f>
        <v>15.056826</v>
      </c>
      <c r="E31" s="151"/>
      <c r="F31" s="143"/>
      <c r="H31" s="78"/>
    </row>
    <row r="32" spans="1:8" ht="30" customHeight="1">
      <c r="A32" s="9" t="s">
        <v>33</v>
      </c>
      <c r="B32" s="6" t="s">
        <v>34</v>
      </c>
      <c r="C32" s="12" t="s">
        <v>16</v>
      </c>
      <c r="D32" s="107"/>
      <c r="E32" s="159"/>
      <c r="F32" s="5" t="s">
        <v>17</v>
      </c>
      <c r="H32" s="78"/>
    </row>
    <row r="33" spans="1:8" ht="15.75">
      <c r="A33" s="8" t="s">
        <v>35</v>
      </c>
      <c r="B33" s="6" t="s">
        <v>36</v>
      </c>
      <c r="C33" s="12" t="s">
        <v>16</v>
      </c>
      <c r="D33" s="107" t="s">
        <v>30</v>
      </c>
      <c r="E33" s="159" t="s">
        <v>22</v>
      </c>
      <c r="F33" s="1" t="s">
        <v>17</v>
      </c>
      <c r="H33" s="78"/>
    </row>
    <row r="34" spans="1:8" ht="15.75">
      <c r="A34" s="8" t="s">
        <v>37</v>
      </c>
      <c r="B34" s="6" t="s">
        <v>38</v>
      </c>
      <c r="C34" s="12" t="s">
        <v>16</v>
      </c>
      <c r="D34" s="107" t="s">
        <v>22</v>
      </c>
      <c r="E34" s="159" t="s">
        <v>22</v>
      </c>
      <c r="F34" s="1" t="s">
        <v>17</v>
      </c>
      <c r="H34" s="78"/>
    </row>
    <row r="35" spans="1:8" ht="30">
      <c r="A35" s="8" t="s">
        <v>87</v>
      </c>
      <c r="B35" s="6" t="s">
        <v>39</v>
      </c>
      <c r="C35" s="12" t="s">
        <v>16</v>
      </c>
      <c r="D35" s="107" t="s">
        <v>22</v>
      </c>
      <c r="E35" s="159" t="s">
        <v>22</v>
      </c>
      <c r="F35" s="1"/>
      <c r="H35" s="78"/>
    </row>
    <row r="36" spans="1:8" ht="15">
      <c r="A36" s="9" t="s">
        <v>88</v>
      </c>
      <c r="B36" s="6" t="s">
        <v>40</v>
      </c>
      <c r="C36" s="12" t="s">
        <v>16</v>
      </c>
      <c r="D36" s="107" t="s">
        <v>25</v>
      </c>
      <c r="E36" s="159" t="s">
        <v>22</v>
      </c>
      <c r="F36" s="1"/>
      <c r="H36" s="78"/>
    </row>
    <row r="37" spans="1:8" s="82" customFormat="1" ht="31.5">
      <c r="A37" s="38" t="s">
        <v>89</v>
      </c>
      <c r="B37" s="39" t="s">
        <v>41</v>
      </c>
      <c r="C37" s="40" t="s">
        <v>16</v>
      </c>
      <c r="D37" s="111">
        <f>D41+D43+D45+D50+D46</f>
        <v>253.451900664</v>
      </c>
      <c r="E37" s="162">
        <f>E41+E43+E45+E50+E46</f>
        <v>228.89351779500004</v>
      </c>
      <c r="F37" s="144" t="s">
        <v>146</v>
      </c>
      <c r="G37" s="80"/>
      <c r="H37" s="81"/>
    </row>
    <row r="38" spans="1:8" ht="15.75">
      <c r="A38" s="8" t="s">
        <v>90</v>
      </c>
      <c r="B38" s="6" t="s">
        <v>42</v>
      </c>
      <c r="C38" s="12" t="s">
        <v>16</v>
      </c>
      <c r="D38" s="107" t="s">
        <v>25</v>
      </c>
      <c r="E38" s="159" t="s">
        <v>22</v>
      </c>
      <c r="F38" s="1" t="s">
        <v>17</v>
      </c>
      <c r="H38" s="78"/>
    </row>
    <row r="39" spans="1:8" ht="30">
      <c r="A39" s="9" t="s">
        <v>101</v>
      </c>
      <c r="B39" s="6" t="s">
        <v>43</v>
      </c>
      <c r="C39" s="12" t="s">
        <v>16</v>
      </c>
      <c r="D39" s="107" t="s">
        <v>22</v>
      </c>
      <c r="E39" s="159" t="s">
        <v>22</v>
      </c>
      <c r="F39" s="1"/>
      <c r="H39" s="78"/>
    </row>
    <row r="40" spans="1:8" ht="15.75">
      <c r="A40" s="9" t="s">
        <v>91</v>
      </c>
      <c r="B40" s="6" t="s">
        <v>44</v>
      </c>
      <c r="C40" s="12" t="s">
        <v>16</v>
      </c>
      <c r="D40" s="107"/>
      <c r="E40" s="151"/>
      <c r="F40" s="1" t="s">
        <v>17</v>
      </c>
      <c r="H40" s="78"/>
    </row>
    <row r="41" spans="1:8" ht="15">
      <c r="A41" s="9" t="s">
        <v>92</v>
      </c>
      <c r="B41" s="6" t="s">
        <v>45</v>
      </c>
      <c r="C41" s="12" t="s">
        <v>16</v>
      </c>
      <c r="D41" s="109">
        <f>1348.07*G15</f>
        <v>86.54609399999998</v>
      </c>
      <c r="E41" s="161">
        <f>1381.25725*H15</f>
        <v>89.09109262500002</v>
      </c>
      <c r="F41" s="143"/>
      <c r="H41" s="147"/>
    </row>
    <row r="42" spans="1:8" ht="44.25" customHeight="1">
      <c r="A42" s="9" t="s">
        <v>93</v>
      </c>
      <c r="B42" s="6" t="s">
        <v>46</v>
      </c>
      <c r="C42" s="12" t="s">
        <v>16</v>
      </c>
      <c r="D42" s="107" t="s">
        <v>22</v>
      </c>
      <c r="E42" s="159" t="s">
        <v>22</v>
      </c>
      <c r="F42" s="1" t="s">
        <v>17</v>
      </c>
      <c r="H42" s="78"/>
    </row>
    <row r="43" spans="1:8" ht="45.75">
      <c r="A43" s="9" t="s">
        <v>94</v>
      </c>
      <c r="B43" s="6" t="s">
        <v>47</v>
      </c>
      <c r="C43" s="12" t="s">
        <v>16</v>
      </c>
      <c r="D43" s="109">
        <f>998.71*G15</f>
        <v>64.117182</v>
      </c>
      <c r="E43" s="151">
        <f>753.57054*H15</f>
        <v>48.60529983000001</v>
      </c>
      <c r="F43" s="143" t="s">
        <v>145</v>
      </c>
      <c r="H43" s="78"/>
    </row>
    <row r="44" spans="1:8" ht="15.75">
      <c r="A44" s="9" t="s">
        <v>95</v>
      </c>
      <c r="B44" s="6" t="s">
        <v>48</v>
      </c>
      <c r="C44" s="12" t="s">
        <v>16</v>
      </c>
      <c r="D44" s="107" t="s">
        <v>22</v>
      </c>
      <c r="E44" s="159"/>
      <c r="F44" s="1" t="s">
        <v>17</v>
      </c>
      <c r="H44" s="146"/>
    </row>
    <row r="45" spans="1:8" ht="15.75">
      <c r="A45" s="9" t="s">
        <v>96</v>
      </c>
      <c r="B45" s="6" t="s">
        <v>49</v>
      </c>
      <c r="C45" s="12" t="s">
        <v>16</v>
      </c>
      <c r="D45" s="104"/>
      <c r="E45" s="159"/>
      <c r="F45" s="1" t="s">
        <v>17</v>
      </c>
      <c r="H45" s="146"/>
    </row>
    <row r="46" spans="1:8" ht="34.5">
      <c r="A46" s="9" t="s">
        <v>97</v>
      </c>
      <c r="B46" s="6" t="s">
        <v>50</v>
      </c>
      <c r="C46" s="12" t="s">
        <v>16</v>
      </c>
      <c r="D46" s="105">
        <f>211.67*G15</f>
        <v>13.589213999999998</v>
      </c>
      <c r="E46" s="158">
        <f>(6.02+0.29+0.27+17.93)*H15</f>
        <v>1.580895</v>
      </c>
      <c r="F46" s="143" t="s">
        <v>152</v>
      </c>
      <c r="H46" s="146"/>
    </row>
    <row r="47" spans="1:8" ht="45">
      <c r="A47" s="9" t="s">
        <v>98</v>
      </c>
      <c r="B47" s="6" t="s">
        <v>51</v>
      </c>
      <c r="C47" s="12" t="s">
        <v>16</v>
      </c>
      <c r="D47" s="107" t="s">
        <v>25</v>
      </c>
      <c r="E47" s="159" t="s">
        <v>22</v>
      </c>
      <c r="F47" s="1" t="s">
        <v>17</v>
      </c>
      <c r="H47" s="146"/>
    </row>
    <row r="48" spans="1:8" ht="30">
      <c r="A48" s="9" t="s">
        <v>52</v>
      </c>
      <c r="B48" s="6" t="s">
        <v>53</v>
      </c>
      <c r="C48" s="13" t="s">
        <v>54</v>
      </c>
      <c r="D48" s="107" t="s">
        <v>22</v>
      </c>
      <c r="E48" s="159" t="s">
        <v>22</v>
      </c>
      <c r="F48" s="5"/>
      <c r="H48" s="146"/>
    </row>
    <row r="49" spans="1:8" ht="75">
      <c r="A49" s="9" t="s">
        <v>102</v>
      </c>
      <c r="B49" s="6" t="s">
        <v>122</v>
      </c>
      <c r="C49" s="12" t="s">
        <v>16</v>
      </c>
      <c r="D49" s="107" t="s">
        <v>22</v>
      </c>
      <c r="E49" s="159" t="s">
        <v>22</v>
      </c>
      <c r="F49" s="5"/>
      <c r="H49" s="146"/>
    </row>
    <row r="50" spans="1:8" ht="45">
      <c r="A50" s="8" t="s">
        <v>99</v>
      </c>
      <c r="B50" s="6" t="s">
        <v>55</v>
      </c>
      <c r="C50" s="12" t="s">
        <v>16</v>
      </c>
      <c r="D50" s="104">
        <f>1389.39892*G15</f>
        <v>89.199410664</v>
      </c>
      <c r="E50" s="151">
        <f>1389.39892*H15</f>
        <v>89.61623034</v>
      </c>
      <c r="F50" s="1" t="s">
        <v>17</v>
      </c>
      <c r="H50" s="78"/>
    </row>
    <row r="51" spans="1:8" ht="45.75" thickBot="1">
      <c r="A51" s="10" t="s">
        <v>100</v>
      </c>
      <c r="B51" s="7" t="s">
        <v>56</v>
      </c>
      <c r="C51" s="14" t="s">
        <v>16</v>
      </c>
      <c r="D51" s="112" t="s">
        <v>22</v>
      </c>
      <c r="E51" s="163" t="s">
        <v>22</v>
      </c>
      <c r="F51" s="83" t="s">
        <v>17</v>
      </c>
      <c r="H51" s="78"/>
    </row>
    <row r="52" spans="1:8" ht="30.75" thickBot="1">
      <c r="A52" s="2" t="s">
        <v>57</v>
      </c>
      <c r="B52" s="3" t="s">
        <v>103</v>
      </c>
      <c r="C52" s="4" t="s">
        <v>16</v>
      </c>
      <c r="D52" s="114">
        <f>D23+D27+D32</f>
        <v>281.90797799999996</v>
      </c>
      <c r="E52" s="164">
        <f>E23+E27+E32</f>
        <v>294.14650176000004</v>
      </c>
      <c r="F52" s="84"/>
      <c r="H52" s="78"/>
    </row>
    <row r="53" spans="1:8" ht="30">
      <c r="A53" s="41" t="s">
        <v>58</v>
      </c>
      <c r="B53" s="42" t="s">
        <v>59</v>
      </c>
      <c r="C53" s="11" t="s">
        <v>16</v>
      </c>
      <c r="D53" s="116"/>
      <c r="E53" s="165"/>
      <c r="F53" s="85" t="s">
        <v>17</v>
      </c>
      <c r="H53" s="78"/>
    </row>
    <row r="54" spans="1:8" ht="15.75">
      <c r="A54" s="43" t="s">
        <v>83</v>
      </c>
      <c r="B54" s="44" t="s">
        <v>104</v>
      </c>
      <c r="C54" s="13" t="s">
        <v>60</v>
      </c>
      <c r="D54" s="118">
        <v>360</v>
      </c>
      <c r="E54" s="166">
        <v>207.454</v>
      </c>
      <c r="F54" s="86"/>
      <c r="H54" s="78"/>
    </row>
    <row r="55" spans="1:8" ht="61.5" customHeight="1" thickBot="1">
      <c r="A55" s="45" t="s">
        <v>89</v>
      </c>
      <c r="B55" s="46" t="s">
        <v>125</v>
      </c>
      <c r="C55" s="47" t="s">
        <v>16</v>
      </c>
      <c r="D55" s="120" t="s">
        <v>22</v>
      </c>
      <c r="E55" s="167" t="s">
        <v>22</v>
      </c>
      <c r="F55" s="87"/>
      <c r="H55" s="78"/>
    </row>
    <row r="56" spans="1:8" ht="64.5" customHeight="1">
      <c r="A56" s="48" t="s">
        <v>61</v>
      </c>
      <c r="B56" s="42" t="s">
        <v>105</v>
      </c>
      <c r="C56" s="11" t="s">
        <v>13</v>
      </c>
      <c r="D56" s="116" t="s">
        <v>13</v>
      </c>
      <c r="E56" s="168" t="s">
        <v>13</v>
      </c>
      <c r="F56" s="88" t="s">
        <v>14</v>
      </c>
      <c r="H56" s="78"/>
    </row>
    <row r="57" spans="1:8" ht="30" customHeight="1" thickBot="1">
      <c r="A57" s="45">
        <v>1</v>
      </c>
      <c r="B57" s="49" t="s">
        <v>62</v>
      </c>
      <c r="C57" s="47" t="s">
        <v>63</v>
      </c>
      <c r="D57" s="120" t="s">
        <v>25</v>
      </c>
      <c r="E57" s="167" t="s">
        <v>22</v>
      </c>
      <c r="F57" s="89" t="s">
        <v>17</v>
      </c>
      <c r="H57" s="78"/>
    </row>
    <row r="58" spans="1:8" ht="15" customHeight="1">
      <c r="A58" s="50">
        <v>2</v>
      </c>
      <c r="B58" s="51" t="s">
        <v>64</v>
      </c>
      <c r="C58" s="52" t="s">
        <v>65</v>
      </c>
      <c r="D58" s="116" t="s">
        <v>66</v>
      </c>
      <c r="E58" s="168">
        <v>286</v>
      </c>
      <c r="F58" s="90" t="s">
        <v>17</v>
      </c>
      <c r="H58" s="78"/>
    </row>
    <row r="59" spans="1:8" ht="30.75" thickBot="1">
      <c r="A59" s="53" t="s">
        <v>110</v>
      </c>
      <c r="B59" s="46" t="s">
        <v>111</v>
      </c>
      <c r="C59" s="47" t="s">
        <v>65</v>
      </c>
      <c r="D59" s="120">
        <v>286</v>
      </c>
      <c r="E59" s="167">
        <v>286</v>
      </c>
      <c r="F59" s="87" t="s">
        <v>17</v>
      </c>
      <c r="H59" s="78"/>
    </row>
    <row r="60" spans="1:8" ht="30">
      <c r="A60" s="48">
        <v>3</v>
      </c>
      <c r="B60" s="42" t="s">
        <v>67</v>
      </c>
      <c r="C60" s="11" t="s">
        <v>68</v>
      </c>
      <c r="D60" s="123">
        <f>SUM(D61:D64)</f>
        <v>552.86</v>
      </c>
      <c r="E60" s="169">
        <f>SUM(E61:E64)</f>
        <v>550.36</v>
      </c>
      <c r="F60" s="85" t="s">
        <v>17</v>
      </c>
      <c r="H60" s="78"/>
    </row>
    <row r="61" spans="1:8" ht="30">
      <c r="A61" s="43" t="s">
        <v>69</v>
      </c>
      <c r="B61" s="44" t="s">
        <v>70</v>
      </c>
      <c r="C61" s="12" t="s">
        <v>68</v>
      </c>
      <c r="D61" s="125">
        <v>7.68</v>
      </c>
      <c r="E61" s="170">
        <v>7.68</v>
      </c>
      <c r="F61" s="91" t="s">
        <v>17</v>
      </c>
      <c r="H61" s="78"/>
    </row>
    <row r="62" spans="1:8" ht="30">
      <c r="A62" s="43" t="s">
        <v>106</v>
      </c>
      <c r="B62" s="44" t="s">
        <v>71</v>
      </c>
      <c r="C62" s="12" t="s">
        <v>68</v>
      </c>
      <c r="D62" s="125">
        <v>234.35</v>
      </c>
      <c r="E62" s="171">
        <v>234.35</v>
      </c>
      <c r="F62" s="91"/>
      <c r="H62" s="78"/>
    </row>
    <row r="63" spans="1:8" ht="30">
      <c r="A63" s="43" t="s">
        <v>107</v>
      </c>
      <c r="B63" s="44" t="s">
        <v>72</v>
      </c>
      <c r="C63" s="12" t="s">
        <v>68</v>
      </c>
      <c r="D63" s="125">
        <v>271.95</v>
      </c>
      <c r="E63" s="170">
        <v>269.45</v>
      </c>
      <c r="F63" s="86"/>
      <c r="H63" s="78"/>
    </row>
    <row r="64" spans="1:8" ht="30.75" thickBot="1">
      <c r="A64" s="54" t="s">
        <v>108</v>
      </c>
      <c r="B64" s="55" t="s">
        <v>73</v>
      </c>
      <c r="C64" s="14" t="s">
        <v>68</v>
      </c>
      <c r="D64" s="128">
        <v>38.88</v>
      </c>
      <c r="E64" s="172">
        <v>38.88</v>
      </c>
      <c r="F64" s="92"/>
      <c r="H64" s="78"/>
    </row>
    <row r="65" spans="1:8" ht="15.75">
      <c r="A65" s="56">
        <v>4</v>
      </c>
      <c r="B65" s="57" t="s">
        <v>74</v>
      </c>
      <c r="C65" s="58" t="s">
        <v>68</v>
      </c>
      <c r="D65" s="130"/>
      <c r="E65" s="58"/>
      <c r="F65" s="93" t="s">
        <v>17</v>
      </c>
      <c r="H65" s="78"/>
    </row>
    <row r="66" spans="1:8" ht="30.75" thickBot="1">
      <c r="A66" s="53" t="s">
        <v>75</v>
      </c>
      <c r="B66" s="46" t="s">
        <v>76</v>
      </c>
      <c r="C66" s="47" t="s">
        <v>68</v>
      </c>
      <c r="D66" s="120"/>
      <c r="E66" s="47"/>
      <c r="F66" s="87" t="s">
        <v>17</v>
      </c>
      <c r="H66" s="78"/>
    </row>
    <row r="67" spans="1:8" ht="16.5" thickBot="1">
      <c r="A67" s="41">
        <v>5</v>
      </c>
      <c r="B67" s="42" t="s">
        <v>77</v>
      </c>
      <c r="C67" s="11" t="s">
        <v>78</v>
      </c>
      <c r="D67" s="133">
        <f>SUM(D68:D71)</f>
        <v>146.8</v>
      </c>
      <c r="E67" s="173">
        <f>SUM(E68:E71)</f>
        <v>146.27</v>
      </c>
      <c r="F67" s="85" t="s">
        <v>17</v>
      </c>
      <c r="H67" s="78"/>
    </row>
    <row r="68" spans="1:8" ht="30">
      <c r="A68" s="43" t="s">
        <v>112</v>
      </c>
      <c r="B68" s="44" t="s">
        <v>116</v>
      </c>
      <c r="C68" s="12" t="s">
        <v>78</v>
      </c>
      <c r="D68" s="131">
        <v>4.8</v>
      </c>
      <c r="E68" s="58">
        <v>4.8</v>
      </c>
      <c r="F68" s="91" t="s">
        <v>17</v>
      </c>
      <c r="H68" s="78"/>
    </row>
    <row r="69" spans="1:8" ht="30">
      <c r="A69" s="43" t="s">
        <v>113</v>
      </c>
      <c r="B69" s="44" t="s">
        <v>117</v>
      </c>
      <c r="C69" s="12" t="s">
        <v>78</v>
      </c>
      <c r="D69" s="118">
        <v>49.9</v>
      </c>
      <c r="E69" s="12">
        <v>49.9</v>
      </c>
      <c r="F69" s="91"/>
      <c r="H69" s="78"/>
    </row>
    <row r="70" spans="1:8" ht="30">
      <c r="A70" s="43" t="s">
        <v>114</v>
      </c>
      <c r="B70" s="44" t="s">
        <v>118</v>
      </c>
      <c r="C70" s="12" t="s">
        <v>78</v>
      </c>
      <c r="D70" s="118">
        <v>77.7</v>
      </c>
      <c r="E70" s="12">
        <v>77.17</v>
      </c>
      <c r="F70" s="91"/>
      <c r="H70" s="78"/>
    </row>
    <row r="71" spans="1:8" ht="30.75" thickBot="1">
      <c r="A71" s="54" t="s">
        <v>115</v>
      </c>
      <c r="B71" s="55" t="s">
        <v>119</v>
      </c>
      <c r="C71" s="14" t="s">
        <v>78</v>
      </c>
      <c r="D71" s="118">
        <v>14.4</v>
      </c>
      <c r="E71" s="12">
        <v>14.4</v>
      </c>
      <c r="F71" s="94"/>
      <c r="H71" s="78"/>
    </row>
    <row r="72" spans="1:8" ht="16.5" thickBot="1">
      <c r="A72" s="59">
        <v>6</v>
      </c>
      <c r="B72" s="60" t="s">
        <v>79</v>
      </c>
      <c r="C72" s="4" t="s">
        <v>80</v>
      </c>
      <c r="D72" s="136">
        <v>99.48</v>
      </c>
      <c r="E72" s="174">
        <v>99.48</v>
      </c>
      <c r="F72" s="95" t="s">
        <v>17</v>
      </c>
      <c r="H72" s="78"/>
    </row>
    <row r="73" spans="1:8" ht="30">
      <c r="A73" s="61">
        <v>7</v>
      </c>
      <c r="B73" s="57" t="s">
        <v>81</v>
      </c>
      <c r="C73" s="58" t="s">
        <v>16</v>
      </c>
      <c r="D73" s="130" t="s">
        <v>22</v>
      </c>
      <c r="E73" s="175" t="s">
        <v>22</v>
      </c>
      <c r="F73" s="93" t="s">
        <v>17</v>
      </c>
      <c r="H73" s="78"/>
    </row>
    <row r="74" spans="1:8" ht="30.75" thickBot="1">
      <c r="A74" s="54" t="s">
        <v>109</v>
      </c>
      <c r="B74" s="55" t="s">
        <v>82</v>
      </c>
      <c r="C74" s="14" t="s">
        <v>16</v>
      </c>
      <c r="D74" s="139" t="s">
        <v>22</v>
      </c>
      <c r="E74" s="176" t="s">
        <v>22</v>
      </c>
      <c r="F74" s="92" t="s">
        <v>17</v>
      </c>
      <c r="H74" s="78"/>
    </row>
    <row r="75" spans="1:8" ht="30.75" thickBot="1">
      <c r="A75" s="62">
        <v>8</v>
      </c>
      <c r="B75" s="63" t="s">
        <v>126</v>
      </c>
      <c r="C75" s="4" t="s">
        <v>80</v>
      </c>
      <c r="D75" s="141"/>
      <c r="E75" s="177" t="s">
        <v>13</v>
      </c>
      <c r="F75" s="96" t="s">
        <v>14</v>
      </c>
      <c r="H75" s="78"/>
    </row>
    <row r="76" spans="1:8" ht="12.75">
      <c r="A76" s="64"/>
      <c r="B76" s="65"/>
      <c r="H76" s="78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</sheetData>
  <sheetProtection/>
  <mergeCells count="13">
    <mergeCell ref="A13:F13"/>
    <mergeCell ref="A14:F14"/>
    <mergeCell ref="A16:A17"/>
    <mergeCell ref="B16:B17"/>
    <mergeCell ref="C16:C17"/>
    <mergeCell ref="D16:E16"/>
    <mergeCell ref="F16:F17"/>
    <mergeCell ref="A6:F6"/>
    <mergeCell ref="A7:F7"/>
    <mergeCell ref="A8:F8"/>
    <mergeCell ref="A9:F9"/>
    <mergeCell ref="A11:F11"/>
    <mergeCell ref="A12:F12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10" zoomScaleNormal="110" zoomScalePageLayoutView="0" workbookViewId="0" topLeftCell="A13">
      <pane xSplit="3" ySplit="5" topLeftCell="D18" activePane="bottomRight" state="frozen"/>
      <selection pane="topLeft" activeCell="A13" sqref="A13"/>
      <selection pane="topRight" activeCell="D13" sqref="D13"/>
      <selection pane="bottomLeft" activeCell="A18" sqref="A18"/>
      <selection pane="bottomRight" activeCell="H15" sqref="H15"/>
    </sheetView>
  </sheetViews>
  <sheetFormatPr defaultColWidth="9.00390625" defaultRowHeight="12.75"/>
  <cols>
    <col min="1" max="1" width="10.00390625" style="25" customWidth="1"/>
    <col min="2" max="2" width="56.375" style="25" customWidth="1"/>
    <col min="3" max="3" width="11.625" style="25" customWidth="1"/>
    <col min="4" max="4" width="10.75390625" style="0" customWidth="1"/>
    <col min="5" max="5" width="10.875" style="25" customWidth="1"/>
    <col min="6" max="6" width="24.375" style="25" customWidth="1"/>
    <col min="7" max="7" width="9.125" style="67" customWidth="1"/>
    <col min="8" max="8" width="14.00390625" style="67" customWidth="1"/>
    <col min="9" max="16384" width="9.125" style="25" customWidth="1"/>
  </cols>
  <sheetData>
    <row r="1" ht="12.75">
      <c r="F1" s="66" t="s">
        <v>127</v>
      </c>
    </row>
    <row r="2" ht="12.75">
      <c r="F2" s="66" t="s">
        <v>128</v>
      </c>
    </row>
    <row r="3" ht="12.75">
      <c r="F3" s="25" t="s">
        <v>138</v>
      </c>
    </row>
    <row r="6" spans="1:6" ht="18.75">
      <c r="A6" s="182" t="s">
        <v>0</v>
      </c>
      <c r="B6" s="182"/>
      <c r="C6" s="182"/>
      <c r="D6" s="182"/>
      <c r="E6" s="182"/>
      <c r="F6" s="182"/>
    </row>
    <row r="7" spans="1:6" ht="18.75">
      <c r="A7" s="182" t="s">
        <v>1</v>
      </c>
      <c r="B7" s="182"/>
      <c r="C7" s="182"/>
      <c r="D7" s="182"/>
      <c r="E7" s="182"/>
      <c r="F7" s="182"/>
    </row>
    <row r="8" spans="1:6" ht="18.75">
      <c r="A8" s="182" t="s">
        <v>2</v>
      </c>
      <c r="B8" s="182"/>
      <c r="C8" s="182"/>
      <c r="D8" s="182"/>
      <c r="E8" s="182"/>
      <c r="F8" s="182"/>
    </row>
    <row r="9" spans="1:6" ht="20.25" customHeight="1">
      <c r="A9" s="196" t="s">
        <v>3</v>
      </c>
      <c r="B9" s="196"/>
      <c r="C9" s="196"/>
      <c r="D9" s="196"/>
      <c r="E9" s="196"/>
      <c r="F9" s="196"/>
    </row>
    <row r="10" ht="9" customHeight="1">
      <c r="A10" s="26"/>
    </row>
    <row r="11" spans="1:8" s="28" customFormat="1" ht="15" customHeight="1">
      <c r="A11" s="184" t="s">
        <v>141</v>
      </c>
      <c r="B11" s="184"/>
      <c r="C11" s="184"/>
      <c r="D11" s="184"/>
      <c r="E11" s="184"/>
      <c r="F11" s="184"/>
      <c r="G11" s="68"/>
      <c r="H11" s="68"/>
    </row>
    <row r="12" spans="1:8" s="28" customFormat="1" ht="18.75">
      <c r="A12" s="185" t="s">
        <v>131</v>
      </c>
      <c r="B12" s="185"/>
      <c r="C12" s="185"/>
      <c r="D12" s="185"/>
      <c r="E12" s="185"/>
      <c r="F12" s="185"/>
      <c r="G12" s="68"/>
      <c r="H12" s="68"/>
    </row>
    <row r="13" spans="1:8" s="28" customFormat="1" ht="18.75">
      <c r="A13" s="185" t="s">
        <v>140</v>
      </c>
      <c r="B13" s="185"/>
      <c r="C13" s="185"/>
      <c r="D13" s="185"/>
      <c r="E13" s="185"/>
      <c r="F13" s="185"/>
      <c r="G13" s="68"/>
      <c r="H13" s="68"/>
    </row>
    <row r="14" spans="1:8" s="28" customFormat="1" ht="18.75">
      <c r="A14" s="183" t="s">
        <v>130</v>
      </c>
      <c r="B14" s="183"/>
      <c r="C14" s="183"/>
      <c r="D14" s="183"/>
      <c r="E14" s="183"/>
      <c r="F14" s="183"/>
      <c r="G14" s="68" t="s">
        <v>136</v>
      </c>
      <c r="H14" s="68" t="s">
        <v>137</v>
      </c>
    </row>
    <row r="15" spans="1:8" s="28" customFormat="1" ht="19.5" thickBot="1">
      <c r="A15" s="27"/>
      <c r="D15" s="15"/>
      <c r="F15" s="69"/>
      <c r="G15" s="77">
        <f>8.13/119.76</f>
        <v>0.06788577154308617</v>
      </c>
      <c r="H15" s="77">
        <f>8.89426/164.062568</f>
        <v>0.054212609911116344</v>
      </c>
    </row>
    <row r="16" spans="1:8" s="28" customFormat="1" ht="15" thickBot="1">
      <c r="A16" s="188" t="s">
        <v>5</v>
      </c>
      <c r="B16" s="190" t="s">
        <v>6</v>
      </c>
      <c r="C16" s="192" t="s">
        <v>7</v>
      </c>
      <c r="D16" s="194" t="s">
        <v>154</v>
      </c>
      <c r="E16" s="195"/>
      <c r="F16" s="186" t="s">
        <v>8</v>
      </c>
      <c r="G16" s="68"/>
      <c r="H16" s="68"/>
    </row>
    <row r="17" spans="1:8" s="28" customFormat="1" ht="15.75" thickBot="1">
      <c r="A17" s="189"/>
      <c r="B17" s="191"/>
      <c r="C17" s="193"/>
      <c r="D17" s="16" t="s">
        <v>9</v>
      </c>
      <c r="E17" s="152" t="s">
        <v>10</v>
      </c>
      <c r="F17" s="187"/>
      <c r="G17" s="68"/>
      <c r="H17" s="68"/>
    </row>
    <row r="18" spans="1:9" s="28" customFormat="1" ht="16.5" thickBot="1">
      <c r="A18" s="29" t="s">
        <v>11</v>
      </c>
      <c r="B18" s="30" t="s">
        <v>12</v>
      </c>
      <c r="C18" s="31" t="s">
        <v>13</v>
      </c>
      <c r="D18" s="18" t="s">
        <v>13</v>
      </c>
      <c r="E18" s="153" t="s">
        <v>13</v>
      </c>
      <c r="F18" s="71" t="s">
        <v>14</v>
      </c>
      <c r="G18" s="68"/>
      <c r="H18" s="68"/>
      <c r="I18" s="148"/>
    </row>
    <row r="19" spans="1:8" s="75" customFormat="1" ht="15.75">
      <c r="A19" s="32">
        <v>1</v>
      </c>
      <c r="B19" s="33" t="s">
        <v>15</v>
      </c>
      <c r="C19" s="34" t="s">
        <v>16</v>
      </c>
      <c r="D19" s="97">
        <f>D20+D37</f>
        <v>1094.4157139278557</v>
      </c>
      <c r="E19" s="154">
        <f>E20+E37</f>
        <v>3971.4547906369476</v>
      </c>
      <c r="F19" s="72" t="s">
        <v>134</v>
      </c>
      <c r="G19" s="73"/>
      <c r="H19" s="74"/>
    </row>
    <row r="20" spans="1:8" s="75" customFormat="1" ht="14.25">
      <c r="A20" s="35" t="s">
        <v>83</v>
      </c>
      <c r="B20" s="36" t="s">
        <v>18</v>
      </c>
      <c r="C20" s="37" t="s">
        <v>16</v>
      </c>
      <c r="D20" s="100">
        <f>D21+D26+D28</f>
        <v>969.9892409819638</v>
      </c>
      <c r="E20" s="155">
        <f>E21+E26+E28</f>
        <v>3566.8439641254427</v>
      </c>
      <c r="F20" s="76"/>
      <c r="G20" s="73"/>
      <c r="H20" s="149"/>
    </row>
    <row r="21" spans="1:8" s="28" customFormat="1" ht="15.75">
      <c r="A21" s="20" t="s">
        <v>84</v>
      </c>
      <c r="B21" s="21" t="s">
        <v>19</v>
      </c>
      <c r="C21" s="22" t="s">
        <v>16</v>
      </c>
      <c r="D21" s="102">
        <f>D22+D23+D24</f>
        <v>399.342124248497</v>
      </c>
      <c r="E21" s="180">
        <f>E22+E23+E24</f>
        <v>3152.415017108595</v>
      </c>
      <c r="F21" s="23" t="s">
        <v>133</v>
      </c>
      <c r="G21" s="68"/>
      <c r="H21" s="150"/>
    </row>
    <row r="22" spans="1:8" s="28" customFormat="1" ht="49.5" customHeight="1">
      <c r="A22" s="24" t="s">
        <v>20</v>
      </c>
      <c r="B22" s="21" t="s">
        <v>21</v>
      </c>
      <c r="C22" s="22" t="s">
        <v>16</v>
      </c>
      <c r="D22" s="101">
        <f>1033.4*G15</f>
        <v>70.15315631262526</v>
      </c>
      <c r="E22" s="197">
        <f>37868.016*H15</f>
        <v>2052.9239795159124</v>
      </c>
      <c r="F22" s="143" t="s">
        <v>159</v>
      </c>
      <c r="G22" s="68"/>
      <c r="H22" s="77"/>
    </row>
    <row r="23" spans="1:8" ht="15.75">
      <c r="A23" s="8" t="s">
        <v>23</v>
      </c>
      <c r="B23" s="6" t="s">
        <v>24</v>
      </c>
      <c r="C23" s="12" t="s">
        <v>16</v>
      </c>
      <c r="D23" s="104"/>
      <c r="E23" s="198"/>
      <c r="F23" s="1" t="s">
        <v>17</v>
      </c>
      <c r="H23" s="78"/>
    </row>
    <row r="24" spans="1:8" ht="45">
      <c r="A24" s="9" t="s">
        <v>26</v>
      </c>
      <c r="B24" s="6" t="s">
        <v>27</v>
      </c>
      <c r="C24" s="12" t="s">
        <v>16</v>
      </c>
      <c r="D24" s="104">
        <f>4849.16*G15</f>
        <v>329.18896793587174</v>
      </c>
      <c r="E24" s="198">
        <f>20281.094*H15</f>
        <v>1099.4910375926822</v>
      </c>
      <c r="F24" s="178" t="s">
        <v>156</v>
      </c>
      <c r="H24" s="78"/>
    </row>
    <row r="25" spans="1:8" ht="15.75">
      <c r="A25" s="8" t="s">
        <v>28</v>
      </c>
      <c r="B25" s="6" t="s">
        <v>29</v>
      </c>
      <c r="C25" s="12" t="s">
        <v>16</v>
      </c>
      <c r="D25" s="107" t="s">
        <v>30</v>
      </c>
      <c r="E25" s="198" t="s">
        <v>22</v>
      </c>
      <c r="F25" s="1" t="s">
        <v>17</v>
      </c>
      <c r="H25" s="78"/>
    </row>
    <row r="26" spans="1:8" ht="34.5">
      <c r="A26" s="9" t="s">
        <v>85</v>
      </c>
      <c r="B26" s="6" t="s">
        <v>31</v>
      </c>
      <c r="C26" s="12" t="s">
        <v>16</v>
      </c>
      <c r="D26" s="109">
        <f>4371.44*G15</f>
        <v>296.75857715430857</v>
      </c>
      <c r="E26" s="198">
        <f>5822.354*H15</f>
        <v>315.6450061664279</v>
      </c>
      <c r="F26" s="143" t="s">
        <v>160</v>
      </c>
      <c r="H26" s="147"/>
    </row>
    <row r="27" spans="1:8" ht="15.75">
      <c r="A27" s="8" t="s">
        <v>32</v>
      </c>
      <c r="B27" s="6" t="s">
        <v>29</v>
      </c>
      <c r="C27" s="12" t="s">
        <v>16</v>
      </c>
      <c r="D27" s="109">
        <f>D26</f>
        <v>296.75857715430857</v>
      </c>
      <c r="E27" s="198">
        <f>E26</f>
        <v>315.6450061664279</v>
      </c>
      <c r="F27" s="1" t="s">
        <v>17</v>
      </c>
      <c r="H27" s="78"/>
    </row>
    <row r="28" spans="1:8" ht="15">
      <c r="A28" s="8" t="s">
        <v>86</v>
      </c>
      <c r="B28" s="6" t="s">
        <v>124</v>
      </c>
      <c r="C28" s="12" t="s">
        <v>16</v>
      </c>
      <c r="D28" s="109">
        <f>D29+D30+D31</f>
        <v>273.8885395791583</v>
      </c>
      <c r="E28" s="199">
        <f>E29+E30+E31</f>
        <v>98.78394085041994</v>
      </c>
      <c r="F28" s="1"/>
      <c r="H28" s="78"/>
    </row>
    <row r="29" spans="1:8" ht="26.25" customHeight="1">
      <c r="A29" s="8" t="s">
        <v>33</v>
      </c>
      <c r="B29" s="6" t="s">
        <v>123</v>
      </c>
      <c r="C29" s="12" t="s">
        <v>16</v>
      </c>
      <c r="D29" s="109">
        <f>(3093.97)*G15</f>
        <v>210.0365405811623</v>
      </c>
      <c r="E29" s="198">
        <f>713.245*H15</f>
        <v>38.66687295605418</v>
      </c>
      <c r="F29" s="181" t="s">
        <v>157</v>
      </c>
      <c r="H29" s="78"/>
    </row>
    <row r="30" spans="1:8" ht="24.75" customHeight="1">
      <c r="A30" s="8" t="s">
        <v>35</v>
      </c>
      <c r="B30" s="6" t="s">
        <v>121</v>
      </c>
      <c r="C30" s="12" t="s">
        <v>16</v>
      </c>
      <c r="D30" s="104">
        <f>940.58*G15</f>
        <v>63.85199899799599</v>
      </c>
      <c r="E30" s="198">
        <f>1108.913*H15</f>
        <v>60.11706789436576</v>
      </c>
      <c r="F30" s="143" t="s">
        <v>144</v>
      </c>
      <c r="H30" s="78"/>
    </row>
    <row r="31" spans="1:8" ht="15">
      <c r="A31" s="8" t="s">
        <v>37</v>
      </c>
      <c r="B31" s="6" t="s">
        <v>120</v>
      </c>
      <c r="C31" s="12" t="s">
        <v>16</v>
      </c>
      <c r="D31" s="109"/>
      <c r="E31" s="198"/>
      <c r="F31" s="143"/>
      <c r="H31" s="78"/>
    </row>
    <row r="32" spans="1:8" ht="30" customHeight="1">
      <c r="A32" s="9" t="s">
        <v>33</v>
      </c>
      <c r="B32" s="6" t="s">
        <v>34</v>
      </c>
      <c r="C32" s="12" t="s">
        <v>16</v>
      </c>
      <c r="D32" s="107"/>
      <c r="E32" s="198"/>
      <c r="F32" s="5" t="s">
        <v>17</v>
      </c>
      <c r="H32" s="78"/>
    </row>
    <row r="33" spans="1:8" ht="15.75">
      <c r="A33" s="8" t="s">
        <v>35</v>
      </c>
      <c r="B33" s="6" t="s">
        <v>36</v>
      </c>
      <c r="C33" s="12" t="s">
        <v>16</v>
      </c>
      <c r="D33" s="107" t="s">
        <v>30</v>
      </c>
      <c r="E33" s="198" t="s">
        <v>22</v>
      </c>
      <c r="F33" s="1" t="s">
        <v>17</v>
      </c>
      <c r="H33" s="78"/>
    </row>
    <row r="34" spans="1:8" ht="38.25">
      <c r="A34" s="8" t="s">
        <v>37</v>
      </c>
      <c r="B34" s="179" t="s">
        <v>38</v>
      </c>
      <c r="C34" s="12" t="s">
        <v>16</v>
      </c>
      <c r="D34" s="107" t="s">
        <v>22</v>
      </c>
      <c r="E34" s="198">
        <f>272.997*H15</f>
        <v>14.799879867905029</v>
      </c>
      <c r="F34" s="143" t="s">
        <v>158</v>
      </c>
      <c r="H34" s="78"/>
    </row>
    <row r="35" spans="1:8" ht="30">
      <c r="A35" s="8" t="s">
        <v>87</v>
      </c>
      <c r="B35" s="6" t="s">
        <v>39</v>
      </c>
      <c r="C35" s="12" t="s">
        <v>16</v>
      </c>
      <c r="D35" s="107" t="s">
        <v>22</v>
      </c>
      <c r="E35" s="198" t="s">
        <v>22</v>
      </c>
      <c r="F35" s="1"/>
      <c r="H35" s="78"/>
    </row>
    <row r="36" spans="1:8" ht="15">
      <c r="A36" s="9" t="s">
        <v>88</v>
      </c>
      <c r="B36" s="6" t="s">
        <v>40</v>
      </c>
      <c r="C36" s="12" t="s">
        <v>16</v>
      </c>
      <c r="D36" s="107" t="s">
        <v>25</v>
      </c>
      <c r="E36" s="198" t="s">
        <v>22</v>
      </c>
      <c r="F36" s="1"/>
      <c r="H36" s="78"/>
    </row>
    <row r="37" spans="1:8" s="82" customFormat="1" ht="28.5">
      <c r="A37" s="38" t="s">
        <v>89</v>
      </c>
      <c r="B37" s="39" t="s">
        <v>41</v>
      </c>
      <c r="C37" s="40" t="s">
        <v>16</v>
      </c>
      <c r="D37" s="111">
        <f>D41+D43+D45+D50+D46</f>
        <v>124.42647294589177</v>
      </c>
      <c r="E37" s="200">
        <f>E41+E43+E45+E50+E46</f>
        <v>404.61082651150497</v>
      </c>
      <c r="F37" s="144"/>
      <c r="G37" s="80"/>
      <c r="H37" s="81"/>
    </row>
    <row r="38" spans="1:8" ht="15.75">
      <c r="A38" s="8" t="s">
        <v>90</v>
      </c>
      <c r="B38" s="6" t="s">
        <v>42</v>
      </c>
      <c r="C38" s="12" t="s">
        <v>16</v>
      </c>
      <c r="D38" s="107" t="s">
        <v>25</v>
      </c>
      <c r="E38" s="198" t="s">
        <v>22</v>
      </c>
      <c r="F38" s="1" t="s">
        <v>17</v>
      </c>
      <c r="H38" s="78"/>
    </row>
    <row r="39" spans="1:8" ht="30">
      <c r="A39" s="9" t="s">
        <v>101</v>
      </c>
      <c r="B39" s="6" t="s">
        <v>43</v>
      </c>
      <c r="C39" s="12" t="s">
        <v>16</v>
      </c>
      <c r="D39" s="107" t="s">
        <v>22</v>
      </c>
      <c r="E39" s="198" t="s">
        <v>22</v>
      </c>
      <c r="F39" s="1"/>
      <c r="H39" s="78"/>
    </row>
    <row r="40" spans="1:8" ht="15.75">
      <c r="A40" s="9" t="s">
        <v>91</v>
      </c>
      <c r="B40" s="6" t="s">
        <v>44</v>
      </c>
      <c r="C40" s="12" t="s">
        <v>16</v>
      </c>
      <c r="D40" s="107"/>
      <c r="E40" s="198"/>
      <c r="F40" s="1" t="s">
        <v>17</v>
      </c>
      <c r="H40" s="78"/>
    </row>
    <row r="41" spans="1:8" ht="34.5">
      <c r="A41" s="9" t="s">
        <v>92</v>
      </c>
      <c r="B41" s="6" t="s">
        <v>45</v>
      </c>
      <c r="C41" s="12" t="s">
        <v>16</v>
      </c>
      <c r="D41" s="109">
        <f>1342.03*G15</f>
        <v>91.10474198396793</v>
      </c>
      <c r="E41" s="198">
        <f>3092.933*H15</f>
        <v>167.6759702102188</v>
      </c>
      <c r="F41" s="143" t="s">
        <v>160</v>
      </c>
      <c r="H41" s="147"/>
    </row>
    <row r="42" spans="1:8" ht="44.25" customHeight="1">
      <c r="A42" s="9" t="s">
        <v>93</v>
      </c>
      <c r="B42" s="6" t="s">
        <v>46</v>
      </c>
      <c r="C42" s="12" t="s">
        <v>16</v>
      </c>
      <c r="D42" s="107" t="s">
        <v>22</v>
      </c>
      <c r="E42" s="198" t="s">
        <v>22</v>
      </c>
      <c r="F42" s="1" t="s">
        <v>17</v>
      </c>
      <c r="H42" s="78"/>
    </row>
    <row r="43" spans="1:8" ht="57">
      <c r="A43" s="9" t="s">
        <v>94</v>
      </c>
      <c r="B43" s="6" t="s">
        <v>47</v>
      </c>
      <c r="C43" s="12" t="s">
        <v>16</v>
      </c>
      <c r="D43" s="109">
        <f>490.85*G15</f>
        <v>33.32173096192385</v>
      </c>
      <c r="E43" s="198">
        <f>1918.949*H15</f>
        <v>104.0312335763268</v>
      </c>
      <c r="F43" s="143" t="s">
        <v>155</v>
      </c>
      <c r="H43" s="78"/>
    </row>
    <row r="44" spans="1:8" ht="15.75">
      <c r="A44" s="9" t="s">
        <v>95</v>
      </c>
      <c r="B44" s="6" t="s">
        <v>48</v>
      </c>
      <c r="C44" s="12" t="s">
        <v>16</v>
      </c>
      <c r="D44" s="107" t="s">
        <v>22</v>
      </c>
      <c r="E44" s="198"/>
      <c r="F44" s="1" t="s">
        <v>17</v>
      </c>
      <c r="H44" s="146"/>
    </row>
    <row r="45" spans="1:8" ht="15.75">
      <c r="A45" s="9" t="s">
        <v>96</v>
      </c>
      <c r="B45" s="6" t="s">
        <v>49</v>
      </c>
      <c r="C45" s="12" t="s">
        <v>16</v>
      </c>
      <c r="D45" s="104"/>
      <c r="E45" s="198"/>
      <c r="F45" s="1" t="s">
        <v>17</v>
      </c>
      <c r="H45" s="146"/>
    </row>
    <row r="46" spans="1:8" ht="34.5">
      <c r="A46" s="9" t="s">
        <v>97</v>
      </c>
      <c r="B46" s="6" t="s">
        <v>50</v>
      </c>
      <c r="C46" s="12" t="s">
        <v>16</v>
      </c>
      <c r="D46" s="105"/>
      <c r="E46" s="198">
        <f>(0.18+5.254+13.97+0.202)*H15</f>
        <v>1.0628924299173472</v>
      </c>
      <c r="F46" s="143" t="s">
        <v>152</v>
      </c>
      <c r="H46" s="146"/>
    </row>
    <row r="47" spans="1:8" ht="45">
      <c r="A47" s="9" t="s">
        <v>98</v>
      </c>
      <c r="B47" s="6" t="s">
        <v>51</v>
      </c>
      <c r="C47" s="12" t="s">
        <v>16</v>
      </c>
      <c r="D47" s="107" t="s">
        <v>25</v>
      </c>
      <c r="E47" s="198" t="s">
        <v>22</v>
      </c>
      <c r="F47" s="1" t="s">
        <v>17</v>
      </c>
      <c r="H47" s="146"/>
    </row>
    <row r="48" spans="1:8" ht="30">
      <c r="A48" s="9" t="s">
        <v>52</v>
      </c>
      <c r="B48" s="6" t="s">
        <v>53</v>
      </c>
      <c r="C48" s="13" t="s">
        <v>54</v>
      </c>
      <c r="D48" s="107" t="s">
        <v>22</v>
      </c>
      <c r="E48" s="198" t="s">
        <v>22</v>
      </c>
      <c r="F48" s="5"/>
      <c r="H48" s="146"/>
    </row>
    <row r="49" spans="1:8" ht="75">
      <c r="A49" s="9" t="s">
        <v>102</v>
      </c>
      <c r="B49" s="6" t="s">
        <v>122</v>
      </c>
      <c r="C49" s="12" t="s">
        <v>16</v>
      </c>
      <c r="D49" s="107" t="s">
        <v>22</v>
      </c>
      <c r="E49" s="198" t="s">
        <v>22</v>
      </c>
      <c r="F49" s="5"/>
      <c r="H49" s="146"/>
    </row>
    <row r="50" spans="1:8" ht="45">
      <c r="A50" s="8" t="s">
        <v>99</v>
      </c>
      <c r="B50" s="6" t="s">
        <v>55</v>
      </c>
      <c r="C50" s="12" t="s">
        <v>16</v>
      </c>
      <c r="D50" s="104"/>
      <c r="E50" s="198">
        <f>2431.92*H15</f>
        <v>131.84073029504205</v>
      </c>
      <c r="F50" s="1" t="s">
        <v>17</v>
      </c>
      <c r="H50" s="78"/>
    </row>
    <row r="51" spans="1:8" ht="45.75" thickBot="1">
      <c r="A51" s="10" t="s">
        <v>100</v>
      </c>
      <c r="B51" s="7" t="s">
        <v>56</v>
      </c>
      <c r="C51" s="14" t="s">
        <v>16</v>
      </c>
      <c r="D51" s="112" t="s">
        <v>22</v>
      </c>
      <c r="E51" s="113" t="s">
        <v>22</v>
      </c>
      <c r="F51" s="83" t="s">
        <v>17</v>
      </c>
      <c r="H51" s="78"/>
    </row>
    <row r="52" spans="1:8" ht="30.75" thickBot="1">
      <c r="A52" s="2" t="s">
        <v>57</v>
      </c>
      <c r="B52" s="3" t="s">
        <v>103</v>
      </c>
      <c r="C52" s="4" t="s">
        <v>16</v>
      </c>
      <c r="D52" s="114">
        <f>D23+D27+D32</f>
        <v>296.75857715430857</v>
      </c>
      <c r="E52" s="201">
        <f>E23+E27+E32</f>
        <v>315.6450061664279</v>
      </c>
      <c r="F52" s="84"/>
      <c r="H52" s="78"/>
    </row>
    <row r="53" spans="1:8" ht="30">
      <c r="A53" s="41" t="s">
        <v>58</v>
      </c>
      <c r="B53" s="42" t="s">
        <v>59</v>
      </c>
      <c r="C53" s="11" t="s">
        <v>16</v>
      </c>
      <c r="D53" s="116"/>
      <c r="E53" s="117"/>
      <c r="F53" s="85" t="s">
        <v>17</v>
      </c>
      <c r="H53" s="78"/>
    </row>
    <row r="54" spans="1:8" ht="15.75">
      <c r="A54" s="43" t="s">
        <v>83</v>
      </c>
      <c r="B54" s="44" t="s">
        <v>104</v>
      </c>
      <c r="C54" s="13" t="s">
        <v>60</v>
      </c>
      <c r="D54" s="118">
        <v>356.4</v>
      </c>
      <c r="E54" s="119">
        <v>165.225</v>
      </c>
      <c r="F54" s="86"/>
      <c r="H54" s="78"/>
    </row>
    <row r="55" spans="1:8" ht="61.5" customHeight="1" thickBot="1">
      <c r="A55" s="45" t="s">
        <v>89</v>
      </c>
      <c r="B55" s="46" t="s">
        <v>125</v>
      </c>
      <c r="C55" s="47" t="s">
        <v>16</v>
      </c>
      <c r="D55" s="120" t="s">
        <v>22</v>
      </c>
      <c r="E55" s="167" t="s">
        <v>22</v>
      </c>
      <c r="F55" s="87"/>
      <c r="H55" s="78"/>
    </row>
    <row r="56" spans="1:8" ht="64.5" customHeight="1">
      <c r="A56" s="48" t="s">
        <v>61</v>
      </c>
      <c r="B56" s="42" t="s">
        <v>105</v>
      </c>
      <c r="C56" s="11" t="s">
        <v>13</v>
      </c>
      <c r="D56" s="116" t="s">
        <v>13</v>
      </c>
      <c r="E56" s="168" t="s">
        <v>13</v>
      </c>
      <c r="F56" s="88" t="s">
        <v>14</v>
      </c>
      <c r="H56" s="78"/>
    </row>
    <row r="57" spans="1:8" ht="30" customHeight="1" thickBot="1">
      <c r="A57" s="45">
        <v>1</v>
      </c>
      <c r="B57" s="49" t="s">
        <v>62</v>
      </c>
      <c r="C57" s="47" t="s">
        <v>63</v>
      </c>
      <c r="D57" s="120" t="s">
        <v>25</v>
      </c>
      <c r="E57" s="167" t="s">
        <v>22</v>
      </c>
      <c r="F57" s="89" t="s">
        <v>17</v>
      </c>
      <c r="H57" s="78"/>
    </row>
    <row r="58" spans="1:8" ht="15" customHeight="1">
      <c r="A58" s="50">
        <v>2</v>
      </c>
      <c r="B58" s="51" t="s">
        <v>64</v>
      </c>
      <c r="C58" s="52" t="s">
        <v>65</v>
      </c>
      <c r="D58" s="116" t="s">
        <v>66</v>
      </c>
      <c r="E58" s="168">
        <v>286</v>
      </c>
      <c r="F58" s="90" t="s">
        <v>17</v>
      </c>
      <c r="H58" s="78"/>
    </row>
    <row r="59" spans="1:8" ht="30.75" thickBot="1">
      <c r="A59" s="53" t="s">
        <v>110</v>
      </c>
      <c r="B59" s="46" t="s">
        <v>111</v>
      </c>
      <c r="C59" s="47" t="s">
        <v>65</v>
      </c>
      <c r="D59" s="120">
        <v>286</v>
      </c>
      <c r="E59" s="167">
        <v>286</v>
      </c>
      <c r="F59" s="87" t="s">
        <v>17</v>
      </c>
      <c r="H59" s="78"/>
    </row>
    <row r="60" spans="1:8" ht="30">
      <c r="A60" s="48">
        <v>3</v>
      </c>
      <c r="B60" s="42" t="s">
        <v>67</v>
      </c>
      <c r="C60" s="11" t="s">
        <v>68</v>
      </c>
      <c r="D60" s="123">
        <f>SUM(D61:D64)</f>
        <v>552.86</v>
      </c>
      <c r="E60" s="169">
        <f>SUM(E61:E64)</f>
        <v>550.36</v>
      </c>
      <c r="F60" s="85" t="s">
        <v>17</v>
      </c>
      <c r="H60" s="78"/>
    </row>
    <row r="61" spans="1:8" ht="30">
      <c r="A61" s="43" t="s">
        <v>69</v>
      </c>
      <c r="B61" s="44" t="s">
        <v>70</v>
      </c>
      <c r="C61" s="12" t="s">
        <v>68</v>
      </c>
      <c r="D61" s="125">
        <v>7.68</v>
      </c>
      <c r="E61" s="170">
        <v>7.68</v>
      </c>
      <c r="F61" s="91" t="s">
        <v>17</v>
      </c>
      <c r="H61" s="78"/>
    </row>
    <row r="62" spans="1:8" ht="30">
      <c r="A62" s="43" t="s">
        <v>106</v>
      </c>
      <c r="B62" s="44" t="s">
        <v>71</v>
      </c>
      <c r="C62" s="12" t="s">
        <v>68</v>
      </c>
      <c r="D62" s="125">
        <v>234.35</v>
      </c>
      <c r="E62" s="171">
        <v>234.35</v>
      </c>
      <c r="F62" s="91"/>
      <c r="H62" s="78"/>
    </row>
    <row r="63" spans="1:8" ht="30">
      <c r="A63" s="43" t="s">
        <v>107</v>
      </c>
      <c r="B63" s="44" t="s">
        <v>72</v>
      </c>
      <c r="C63" s="12" t="s">
        <v>68</v>
      </c>
      <c r="D63" s="125">
        <v>271.95</v>
      </c>
      <c r="E63" s="170">
        <v>269.45</v>
      </c>
      <c r="F63" s="86"/>
      <c r="H63" s="78"/>
    </row>
    <row r="64" spans="1:8" ht="30.75" thickBot="1">
      <c r="A64" s="54" t="s">
        <v>108</v>
      </c>
      <c r="B64" s="55" t="s">
        <v>73</v>
      </c>
      <c r="C64" s="14" t="s">
        <v>68</v>
      </c>
      <c r="D64" s="128">
        <v>38.88</v>
      </c>
      <c r="E64" s="172">
        <v>38.88</v>
      </c>
      <c r="F64" s="92"/>
      <c r="H64" s="78"/>
    </row>
    <row r="65" spans="1:8" ht="15.75">
      <c r="A65" s="56">
        <v>4</v>
      </c>
      <c r="B65" s="57" t="s">
        <v>74</v>
      </c>
      <c r="C65" s="58" t="s">
        <v>68</v>
      </c>
      <c r="D65" s="130"/>
      <c r="E65" s="58"/>
      <c r="F65" s="93" t="s">
        <v>17</v>
      </c>
      <c r="H65" s="78"/>
    </row>
    <row r="66" spans="1:8" ht="30.75" thickBot="1">
      <c r="A66" s="53" t="s">
        <v>75</v>
      </c>
      <c r="B66" s="46" t="s">
        <v>76</v>
      </c>
      <c r="C66" s="47" t="s">
        <v>68</v>
      </c>
      <c r="D66" s="120"/>
      <c r="E66" s="47"/>
      <c r="F66" s="87" t="s">
        <v>17</v>
      </c>
      <c r="H66" s="78"/>
    </row>
    <row r="67" spans="1:8" ht="16.5" thickBot="1">
      <c r="A67" s="41">
        <v>5</v>
      </c>
      <c r="B67" s="42" t="s">
        <v>77</v>
      </c>
      <c r="C67" s="11" t="s">
        <v>78</v>
      </c>
      <c r="D67" s="133">
        <f>SUM(D68:D71)</f>
        <v>146.8</v>
      </c>
      <c r="E67" s="173">
        <f>SUM(E68:E71)</f>
        <v>146.27</v>
      </c>
      <c r="F67" s="85" t="s">
        <v>17</v>
      </c>
      <c r="H67" s="78"/>
    </row>
    <row r="68" spans="1:8" ht="30">
      <c r="A68" s="43" t="s">
        <v>112</v>
      </c>
      <c r="B68" s="44" t="s">
        <v>116</v>
      </c>
      <c r="C68" s="12" t="s">
        <v>78</v>
      </c>
      <c r="D68" s="131">
        <v>4.8</v>
      </c>
      <c r="E68" s="58">
        <v>4.8</v>
      </c>
      <c r="F68" s="91" t="s">
        <v>17</v>
      </c>
      <c r="H68" s="78"/>
    </row>
    <row r="69" spans="1:8" ht="30">
      <c r="A69" s="43" t="s">
        <v>113</v>
      </c>
      <c r="B69" s="44" t="s">
        <v>117</v>
      </c>
      <c r="C69" s="12" t="s">
        <v>78</v>
      </c>
      <c r="D69" s="118">
        <v>49.9</v>
      </c>
      <c r="E69" s="12">
        <v>49.9</v>
      </c>
      <c r="F69" s="91"/>
      <c r="H69" s="78"/>
    </row>
    <row r="70" spans="1:8" ht="30">
      <c r="A70" s="43" t="s">
        <v>114</v>
      </c>
      <c r="B70" s="44" t="s">
        <v>118</v>
      </c>
      <c r="C70" s="12" t="s">
        <v>78</v>
      </c>
      <c r="D70" s="118">
        <v>77.7</v>
      </c>
      <c r="E70" s="12">
        <v>77.17</v>
      </c>
      <c r="F70" s="91"/>
      <c r="H70" s="78"/>
    </row>
    <row r="71" spans="1:8" ht="30.75" thickBot="1">
      <c r="A71" s="54" t="s">
        <v>115</v>
      </c>
      <c r="B71" s="55" t="s">
        <v>119</v>
      </c>
      <c r="C71" s="14" t="s">
        <v>78</v>
      </c>
      <c r="D71" s="118">
        <v>14.4</v>
      </c>
      <c r="E71" s="12">
        <v>14.4</v>
      </c>
      <c r="F71" s="94"/>
      <c r="H71" s="78"/>
    </row>
    <row r="72" spans="1:8" ht="16.5" thickBot="1">
      <c r="A72" s="59">
        <v>6</v>
      </c>
      <c r="B72" s="60" t="s">
        <v>79</v>
      </c>
      <c r="C72" s="4" t="s">
        <v>80</v>
      </c>
      <c r="D72" s="136">
        <v>99.48</v>
      </c>
      <c r="E72" s="174">
        <v>99.48</v>
      </c>
      <c r="F72" s="95" t="s">
        <v>17</v>
      </c>
      <c r="H72" s="78"/>
    </row>
    <row r="73" spans="1:8" ht="30" customHeight="1">
      <c r="A73" s="61">
        <v>7</v>
      </c>
      <c r="B73" s="57" t="s">
        <v>81</v>
      </c>
      <c r="C73" s="58" t="s">
        <v>16</v>
      </c>
      <c r="D73" s="130" t="s">
        <v>22</v>
      </c>
      <c r="E73" s="175" t="s">
        <v>22</v>
      </c>
      <c r="F73" s="93" t="s">
        <v>17</v>
      </c>
      <c r="H73" s="78"/>
    </row>
    <row r="74" spans="1:8" ht="19.5" customHeight="1" thickBot="1">
      <c r="A74" s="54" t="s">
        <v>109</v>
      </c>
      <c r="B74" s="55" t="s">
        <v>82</v>
      </c>
      <c r="C74" s="14" t="s">
        <v>16</v>
      </c>
      <c r="D74" s="139" t="s">
        <v>22</v>
      </c>
      <c r="E74" s="176" t="s">
        <v>22</v>
      </c>
      <c r="F74" s="92" t="s">
        <v>17</v>
      </c>
      <c r="H74" s="78"/>
    </row>
    <row r="75" spans="1:8" ht="30.75" thickBot="1">
      <c r="A75" s="62">
        <v>8</v>
      </c>
      <c r="B75" s="63" t="s">
        <v>126</v>
      </c>
      <c r="C75" s="4" t="s">
        <v>80</v>
      </c>
      <c r="D75" s="141"/>
      <c r="E75" s="177" t="s">
        <v>13</v>
      </c>
      <c r="F75" s="96" t="s">
        <v>14</v>
      </c>
      <c r="H75" s="78"/>
    </row>
    <row r="76" spans="1:8" ht="12.75">
      <c r="A76" s="64"/>
      <c r="B76" s="65"/>
      <c r="H76" s="78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</sheetData>
  <sheetProtection/>
  <mergeCells count="13">
    <mergeCell ref="A6:F6"/>
    <mergeCell ref="A7:F7"/>
    <mergeCell ref="A8:F8"/>
    <mergeCell ref="A9:F9"/>
    <mergeCell ref="A11:F11"/>
    <mergeCell ref="A12:F12"/>
    <mergeCell ref="A13:F13"/>
    <mergeCell ref="A14:F14"/>
    <mergeCell ref="A16:A17"/>
    <mergeCell ref="B16:B17"/>
    <mergeCell ref="C16:C17"/>
    <mergeCell ref="D16:E16"/>
    <mergeCell ref="F16:F17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SFomchenko</dc:creator>
  <cp:keywords/>
  <dc:description/>
  <cp:lastModifiedBy>якупова</cp:lastModifiedBy>
  <dcterms:created xsi:type="dcterms:W3CDTF">2015-05-05T07:43:44Z</dcterms:created>
  <dcterms:modified xsi:type="dcterms:W3CDTF">2019-03-25T07:23:37Z</dcterms:modified>
  <cp:category/>
  <cp:version/>
  <cp:contentType/>
  <cp:contentStatus/>
</cp:coreProperties>
</file>